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00" windowHeight="9345" firstSheet="1" activeTab="4"/>
  </bookViews>
  <sheets>
    <sheet name="Summary" sheetId="1" r:id="rId1"/>
    <sheet name="Income Statement" sheetId="2" r:id="rId2"/>
    <sheet name="Balance Sheet" sheetId="3" r:id="rId3"/>
    <sheet name="SCF" sheetId="4" r:id="rId4"/>
    <sheet name="Headcount" sheetId="5" r:id="rId5"/>
  </sheets>
  <externalReferences>
    <externalReference r:id="rId8"/>
  </externalReferences>
  <definedNames>
    <definedName name="_xlnm.Print_Titles" localSheetId="2">'Balance Sheet'!$A:$C,'Balance Sheet'!$1:$1</definedName>
    <definedName name="_xlnm.Print_Titles" localSheetId="1">'Income Statement'!$B:$B,'Income Statement'!$2:$2</definedName>
  </definedNames>
  <calcPr fullCalcOnLoad="1"/>
</workbook>
</file>

<file path=xl/sharedStrings.xml><?xml version="1.0" encoding="utf-8"?>
<sst xmlns="http://schemas.openxmlformats.org/spreadsheetml/2006/main" count="213" uniqueCount="156">
  <si>
    <t>Other Expense</t>
  </si>
  <si>
    <t>Total Other Expense</t>
  </si>
  <si>
    <t>Net Income</t>
  </si>
  <si>
    <t>Current Assets</t>
  </si>
  <si>
    <t>Accounts Receivable</t>
  </si>
  <si>
    <t>Total Current Assets</t>
  </si>
  <si>
    <t>Total Fixed Assets</t>
  </si>
  <si>
    <t>Current Liabilities</t>
  </si>
  <si>
    <t>Accounts Payable</t>
  </si>
  <si>
    <t>Total Current Liabilities</t>
  </si>
  <si>
    <t>Total Liabilities</t>
  </si>
  <si>
    <t>Equity</t>
  </si>
  <si>
    <t>Total Equity</t>
  </si>
  <si>
    <t>Travel</t>
  </si>
  <si>
    <t>Meals &amp; entertainment</t>
  </si>
  <si>
    <t>Depreciation</t>
  </si>
  <si>
    <t>Rent</t>
  </si>
  <si>
    <t>Bank Charges</t>
  </si>
  <si>
    <t>Other operating expenses</t>
  </si>
  <si>
    <t>Cash</t>
  </si>
  <si>
    <t>Fixed assets</t>
  </si>
  <si>
    <t>Furniture &amp; Fixtures</t>
  </si>
  <si>
    <t>Computer equipment</t>
  </si>
  <si>
    <t>Common Stock</t>
  </si>
  <si>
    <t>Retained Earnings</t>
  </si>
  <si>
    <t>Total Liabilities &amp; Equity</t>
  </si>
  <si>
    <t>Liabilities &amp; Equity</t>
  </si>
  <si>
    <t>Total Assets</t>
  </si>
  <si>
    <t>Assets</t>
  </si>
  <si>
    <t>Q1-05</t>
  </si>
  <si>
    <t>Q2-05</t>
  </si>
  <si>
    <t>Q3-05</t>
  </si>
  <si>
    <t>Q4-05</t>
  </si>
  <si>
    <t>05 Total</t>
  </si>
  <si>
    <t>Q1-06</t>
  </si>
  <si>
    <t>Q2-06</t>
  </si>
  <si>
    <t>Q3-06</t>
  </si>
  <si>
    <t>Q4-06</t>
  </si>
  <si>
    <t>06 Total</t>
  </si>
  <si>
    <t>Sales</t>
  </si>
  <si>
    <t>CEO</t>
  </si>
  <si>
    <t>COO</t>
  </si>
  <si>
    <t>CTO</t>
  </si>
  <si>
    <t>Account Manager</t>
  </si>
  <si>
    <t>Engineers snr.</t>
  </si>
  <si>
    <t>Engineers jr.</t>
  </si>
  <si>
    <t>Annual</t>
  </si>
  <si>
    <t>Monthly</t>
  </si>
  <si>
    <t>Headcount</t>
  </si>
  <si>
    <t>Monthly payroll</t>
  </si>
  <si>
    <t>Benefits</t>
  </si>
  <si>
    <t>Total Salary</t>
  </si>
  <si>
    <t>2004 Total</t>
  </si>
  <si>
    <t>Hardware</t>
  </si>
  <si>
    <t>Other</t>
  </si>
  <si>
    <t>Yearly depreciation</t>
  </si>
  <si>
    <t>Monthly depreciation</t>
  </si>
  <si>
    <t>Yearly Investor Interest</t>
  </si>
  <si>
    <t>Monthly Investor Interest</t>
  </si>
  <si>
    <t>Quarterly Depreciation</t>
  </si>
  <si>
    <t>Quarterly Investor Interest</t>
  </si>
  <si>
    <t>Project Manager</t>
  </si>
  <si>
    <t>Operating Income</t>
  </si>
  <si>
    <t>Increase in HC</t>
  </si>
  <si>
    <t>Cash Flow From Operations</t>
  </si>
  <si>
    <t>Net income</t>
  </si>
  <si>
    <t>Depreciation and Amortization</t>
  </si>
  <si>
    <t>(Increase) Decrease in Receivables</t>
  </si>
  <si>
    <t>Increase (Decrease) in Accounts Payable</t>
  </si>
  <si>
    <t>Net Cash Flows From Operations</t>
  </si>
  <si>
    <t>Cash Flows From Investing</t>
  </si>
  <si>
    <t>Capital Expenditures</t>
  </si>
  <si>
    <t>Net Cash Flows From Investing</t>
  </si>
  <si>
    <t>Cash Flows From Financing:</t>
  </si>
  <si>
    <t>Proceeds of Equipment Financing</t>
  </si>
  <si>
    <t>Increase (Decrease) in Deferred Compensation</t>
  </si>
  <si>
    <t xml:space="preserve">Net Cash Flows provided by Financing </t>
  </si>
  <si>
    <t>Net Increase (Decrease) in Cash</t>
  </si>
  <si>
    <t>Cash at Beginning of Period</t>
  </si>
  <si>
    <t>Cash at End of Period</t>
  </si>
  <si>
    <t># of Licenses</t>
  </si>
  <si>
    <t>Executives</t>
  </si>
  <si>
    <t xml:space="preserve">     Travel</t>
  </si>
  <si>
    <t xml:space="preserve">     Entertainment</t>
  </si>
  <si>
    <t>Salespeople + Ams</t>
  </si>
  <si>
    <t>Quarterly</t>
  </si>
  <si>
    <t>Acc Depr</t>
  </si>
  <si>
    <t>Cap Ex</t>
  </si>
  <si>
    <t>Headcount and related data</t>
  </si>
  <si>
    <t>Software Expense</t>
  </si>
  <si>
    <t>Increase (Decrease) in  Debt</t>
  </si>
  <si>
    <t>Check Assets - (Liab + SE)</t>
  </si>
  <si>
    <t>Revenue</t>
  </si>
  <si>
    <t>Salaries</t>
  </si>
  <si>
    <t>SG&amp;A</t>
  </si>
  <si>
    <t>Office Manager</t>
  </si>
  <si>
    <t>Product Manager</t>
  </si>
  <si>
    <t>Insurance</t>
  </si>
  <si>
    <t>Total Payroll</t>
  </si>
  <si>
    <t>Other Operating</t>
  </si>
  <si>
    <t>Legal</t>
  </si>
  <si>
    <t>Cap-Ex</t>
  </si>
  <si>
    <t>Total Revenue</t>
  </si>
  <si>
    <t>Office Expenses</t>
  </si>
  <si>
    <t>IT support</t>
  </si>
  <si>
    <t>Office and kitchen supplies</t>
  </si>
  <si>
    <t>Total Office Expenses</t>
  </si>
  <si>
    <t>Telephone Internet Network</t>
  </si>
  <si>
    <t>Professional Services</t>
  </si>
  <si>
    <t xml:space="preserve">Other </t>
  </si>
  <si>
    <t>Total Professional Services</t>
  </si>
  <si>
    <t>Payroll</t>
  </si>
  <si>
    <t>Taxes and Benefits</t>
  </si>
  <si>
    <t>Technical Supplies</t>
  </si>
  <si>
    <t>Taxes</t>
  </si>
  <si>
    <t>Operating Expense</t>
  </si>
  <si>
    <t>Total Operating Expense</t>
  </si>
  <si>
    <t># of Managed Assets</t>
  </si>
  <si>
    <t>Revenue per Managed Asset</t>
  </si>
  <si>
    <t># of New Licenses</t>
  </si>
  <si>
    <t>Q1-07</t>
  </si>
  <si>
    <t>Q2-07</t>
  </si>
  <si>
    <t>Q3-07</t>
  </si>
  <si>
    <t>Q4-07</t>
  </si>
  <si>
    <t>07 Total</t>
  </si>
  <si>
    <t>Cash Flow</t>
  </si>
  <si>
    <t>Q1-08</t>
  </si>
  <si>
    <t>Q2-08</t>
  </si>
  <si>
    <t>Q3-08</t>
  </si>
  <si>
    <t>Q4-08</t>
  </si>
  <si>
    <t>08 Total</t>
  </si>
  <si>
    <t>Cash-Flow</t>
  </si>
  <si>
    <t>Total Cash Flow</t>
  </si>
  <si>
    <t>VP-Engineering</t>
  </si>
  <si>
    <t>Other Assets</t>
  </si>
  <si>
    <t>Prepaid Services</t>
  </si>
  <si>
    <t>Technology License</t>
  </si>
  <si>
    <t>Accrued Payroll</t>
  </si>
  <si>
    <t>Other Liabilities</t>
  </si>
  <si>
    <t>Preferred Stock</t>
  </si>
  <si>
    <t>Telephone/Internet/Network</t>
  </si>
  <si>
    <t>Accounting</t>
  </si>
  <si>
    <t>Net PP&amp;E</t>
  </si>
  <si>
    <t>PP&amp;E</t>
  </si>
  <si>
    <t>Increase in Preferred stock</t>
  </si>
  <si>
    <t>Interest Expense</t>
  </si>
  <si>
    <t>Accrued Interest</t>
  </si>
  <si>
    <t>Income Statement</t>
  </si>
  <si>
    <t>Balance Sheet</t>
  </si>
  <si>
    <t>Notes Payable - A</t>
  </si>
  <si>
    <t>Notes Payable - B</t>
  </si>
  <si>
    <t>Notes Payable - C</t>
  </si>
  <si>
    <t>Interest Payable - C2</t>
  </si>
  <si>
    <t>Interest Payable - A2</t>
  </si>
  <si>
    <t>Interest Payable - B2</t>
  </si>
  <si>
    <t>Statement of Cash Flow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</si>
</sst>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h:mm:ss\ AM/PM"/>
    <numFmt numFmtId="168" formatCode="[$-409]dddd\,\ mmmm\ dd\,\ yyyy"/>
    <numFmt numFmtId="169" formatCode="[$-409]mmm\-yy;@"/>
    <numFmt numFmtId="170" formatCode="&quot;$&quot;#,##0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* #,##0.0_);_(* \(#,##0.0\);_(* &quot;-&quot;?_);_(@_)"/>
    <numFmt numFmtId="178" formatCode="mmm\-yyyy"/>
    <numFmt numFmtId="179" formatCode="0.0%"/>
    <numFmt numFmtId="180" formatCode="0.000%"/>
    <numFmt numFmtId="181" formatCode="&quot;$&quot;#,##0.00000_);[Red]\(&quot;$&quot;#,##0.00000\)"/>
    <numFmt numFmtId="182" formatCode="&quot;$&quot;#,##0.0_);[Red]\(&quot;$&quot;#,##0.0\)"/>
    <numFmt numFmtId="183" formatCode="_(* #,##0.0000_);_(* \(#,##0.0000\);_(* &quot;-&quot;??_);_(@_)"/>
    <numFmt numFmtId="184" formatCode="&quot;$&quot;#,##0.000000_);[Red]\(&quot;$&quot;#,##0.000000\)"/>
    <numFmt numFmtId="185" formatCode="0.0"/>
    <numFmt numFmtId="186" formatCode="mm/dd/yy;@"/>
    <numFmt numFmtId="187" formatCode="m/d/yy;@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00_);_(* \(#,##0.000\);_(* &quot;-&quot;???_);_(@_)"/>
    <numFmt numFmtId="194" formatCode="_(* #,##0.0000_);_(* \(#,##0.0000\);_(* &quot;-&quot;????_);_(@_)"/>
    <numFmt numFmtId="195" formatCode="[$-409]mmmm\-yy;@"/>
    <numFmt numFmtId="196" formatCode="#,##0.0_);\(#,##0.0\)"/>
    <numFmt numFmtId="197" formatCode="&quot;$&quot;#,##0.0_);\(&quot;$&quot;#,##0.0\)"/>
    <numFmt numFmtId="198" formatCode="&quot;$&quot;#,##0.0_);\(&quot;$&quot;#,##0.0\);_(&quot;$&quot;\-\)"/>
    <numFmt numFmtId="199" formatCode="&quot;$&quot;#,##0.0_);\(&quot;$&quot;#,##0.0\);_(&quot;$&quot;&quot;-&quot;\);"/>
    <numFmt numFmtId="200" formatCode="&quot;$&quot;#,##0.0_);\(&quot;$&quot;#,##0.0\);_(&quot;$&quot;&quot;-&quot;;"/>
    <numFmt numFmtId="201" formatCode="#,##0.0_);\(#,##0.0\);\(&quot;-&quot;\)\:"/>
    <numFmt numFmtId="202" formatCode="#,##0.0_);\(#,##0.0\);&quot;-&quot;"/>
    <numFmt numFmtId="203" formatCode="#,##0.000_);\(#,##0.000\)"/>
    <numFmt numFmtId="204" formatCode="#,##0.0000_);\(#,##0.0000\)"/>
    <numFmt numFmtId="205" formatCode="#,##0.00000_);\(#,##0.00000\)"/>
    <numFmt numFmtId="206" formatCode="#,##0.000000_);\(#,##0.000000\)"/>
    <numFmt numFmtId="207" formatCode="0.000000000"/>
    <numFmt numFmtId="208" formatCode="#,##0.0"/>
    <numFmt numFmtId="209" formatCode="&quot;$&quot;#,##0.0_);\(&quot;$&quot;#,##0.0\);&quot;-&quot;"/>
    <numFmt numFmtId="210" formatCode="0.0000%"/>
    <numFmt numFmtId="211" formatCode="#,##0.0000"/>
    <numFmt numFmtId="212" formatCode="#,##0.0\x;&quot;NM&quot;_x"/>
    <numFmt numFmtId="213" formatCode="mmmm\-yy"/>
    <numFmt numFmtId="214" formatCode="#,##0_);\(#,##0\)\:_(&quot;-&quot;\)"/>
    <numFmt numFmtId="215" formatCode="_(&quot;$&quot;* #,##0.000000_);_(&quot;$&quot;* \(#,##0.000000\);_(&quot;$&quot;* &quot;-&quot;??_);_(@_)"/>
    <numFmt numFmtId="216" formatCode="0.000000%"/>
    <numFmt numFmtId="217" formatCode="_(* #,##0.000000_);_(* \(#,##0.000000\);_(* &quot;-&quot;??????_);_(@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0_);_(* \(#,##0.00000000\);_(* &quot;-&quot;????????_);_(@_)"/>
    <numFmt numFmtId="221" formatCode="&quot;$&quot;#,##0.000_);[Red]\(&quot;$&quot;#,##0.000\)"/>
    <numFmt numFmtId="222" formatCode="&quot;$&quot;#,##0.0000_);[Red]\(&quot;$&quot;#,##0.0000\)"/>
  </numFmts>
  <fonts count="11">
    <font>
      <sz val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2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6" fontId="2" fillId="0" borderId="0" xfId="17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166" fontId="2" fillId="0" borderId="0" xfId="17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49" fontId="2" fillId="0" borderId="0" xfId="0" applyNumberFormat="1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166" fontId="0" fillId="0" borderId="0" xfId="0" applyNumberFormat="1" applyAlignment="1">
      <alignment/>
    </xf>
    <xf numFmtId="6" fontId="3" fillId="0" borderId="0" xfId="17" applyNumberFormat="1" applyFont="1" applyBorder="1" applyAlignment="1">
      <alignment horizontal="center"/>
    </xf>
    <xf numFmtId="6" fontId="2" fillId="0" borderId="1" xfId="17" applyNumberFormat="1" applyFont="1" applyBorder="1" applyAlignment="1">
      <alignment horizontal="center"/>
    </xf>
    <xf numFmtId="6" fontId="2" fillId="0" borderId="1" xfId="17" applyNumberFormat="1" applyFont="1" applyBorder="1" applyAlignment="1">
      <alignment horizontal="center"/>
    </xf>
    <xf numFmtId="6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169" fontId="6" fillId="0" borderId="0" xfId="0" applyNumberFormat="1" applyFont="1" applyBorder="1" applyAlignment="1" quotePrefix="1">
      <alignment horizontal="center"/>
    </xf>
    <xf numFmtId="16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6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171" fontId="0" fillId="0" borderId="0" xfId="15" applyNumberFormat="1" applyAlignment="1">
      <alignment/>
    </xf>
    <xf numFmtId="166" fontId="0" fillId="0" borderId="0" xfId="17" applyNumberFormat="1" applyAlignment="1">
      <alignment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0" fillId="0" borderId="3" xfId="0" applyNumberFormat="1" applyBorder="1" applyAlignment="1">
      <alignment/>
    </xf>
    <xf numFmtId="6" fontId="0" fillId="0" borderId="0" xfId="0" applyNumberFormat="1" applyAlignment="1">
      <alignment horizontal="center"/>
    </xf>
    <xf numFmtId="166" fontId="0" fillId="0" borderId="1" xfId="0" applyNumberFormat="1" applyBorder="1" applyAlignment="1">
      <alignment/>
    </xf>
    <xf numFmtId="169" fontId="0" fillId="0" borderId="0" xfId="0" applyNumberFormat="1" applyAlignment="1">
      <alignment horizontal="center"/>
    </xf>
    <xf numFmtId="166" fontId="3" fillId="0" borderId="0" xfId="17" applyNumberFormat="1" applyFont="1" applyAlignment="1">
      <alignment/>
    </xf>
    <xf numFmtId="166" fontId="0" fillId="0" borderId="0" xfId="17" applyNumberFormat="1" applyFont="1" applyBorder="1" applyAlignment="1">
      <alignment/>
    </xf>
    <xf numFmtId="166" fontId="0" fillId="0" borderId="0" xfId="17" applyNumberFormat="1" applyFont="1" applyFill="1" applyBorder="1" applyAlignment="1">
      <alignment/>
    </xf>
    <xf numFmtId="166" fontId="0" fillId="0" borderId="0" xfId="17" applyNumberFormat="1" applyFont="1" applyAlignment="1">
      <alignment/>
    </xf>
    <xf numFmtId="166" fontId="0" fillId="0" borderId="3" xfId="0" applyNumberFormat="1" applyFont="1" applyBorder="1" applyAlignment="1">
      <alignment/>
    </xf>
    <xf numFmtId="166" fontId="3" fillId="0" borderId="0" xfId="17" applyNumberFormat="1" applyFont="1" applyFill="1" applyBorder="1" applyAlignment="1">
      <alignment/>
    </xf>
    <xf numFmtId="166" fontId="3" fillId="0" borderId="1" xfId="17" applyNumberFormat="1" applyFont="1" applyBorder="1" applyAlignment="1">
      <alignment/>
    </xf>
    <xf numFmtId="166" fontId="2" fillId="0" borderId="2" xfId="17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166" fontId="8" fillId="0" borderId="0" xfId="17" applyNumberFormat="1" applyFont="1" applyBorder="1" applyAlignment="1">
      <alignment/>
    </xf>
    <xf numFmtId="166" fontId="3" fillId="0" borderId="0" xfId="17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" xfId="17" applyNumberFormat="1" applyBorder="1" applyAlignment="1">
      <alignment/>
    </xf>
    <xf numFmtId="166" fontId="6" fillId="0" borderId="2" xfId="17" applyNumberFormat="1" applyFont="1" applyBorder="1" applyAlignment="1">
      <alignment/>
    </xf>
    <xf numFmtId="166" fontId="6" fillId="0" borderId="0" xfId="17" applyNumberFormat="1" applyFont="1" applyAlignment="1">
      <alignment/>
    </xf>
    <xf numFmtId="166" fontId="6" fillId="0" borderId="1" xfId="17" applyNumberFormat="1" applyFont="1" applyBorder="1" applyAlignment="1">
      <alignment/>
    </xf>
    <xf numFmtId="166" fontId="0" fillId="0" borderId="3" xfId="17" applyNumberFormat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6" fontId="6" fillId="0" borderId="1" xfId="0" applyNumberFormat="1" applyFont="1" applyBorder="1" applyAlignment="1">
      <alignment/>
    </xf>
    <xf numFmtId="170" fontId="0" fillId="0" borderId="0" xfId="17" applyNumberFormat="1" applyAlignment="1">
      <alignment horizontal="center"/>
    </xf>
    <xf numFmtId="6" fontId="6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6" fontId="0" fillId="0" borderId="3" xfId="17" applyNumberFormat="1" applyFont="1" applyBorder="1" applyAlignment="1">
      <alignment/>
    </xf>
    <xf numFmtId="6" fontId="0" fillId="0" borderId="0" xfId="17" applyNumberFormat="1" applyAlignment="1">
      <alignment/>
    </xf>
    <xf numFmtId="6" fontId="0" fillId="0" borderId="0" xfId="0" applyNumberFormat="1" applyAlignment="1">
      <alignment horizontal="left" indent="1"/>
    </xf>
    <xf numFmtId="166" fontId="0" fillId="0" borderId="0" xfId="17" applyNumberFormat="1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0" fillId="0" borderId="5" xfId="0" applyBorder="1" applyAlignment="1">
      <alignment horizontal="left" indent="1"/>
    </xf>
    <xf numFmtId="0" fontId="6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6" fontId="0" fillId="0" borderId="1" xfId="0" applyNumberFormat="1" applyBorder="1" applyAlignment="1">
      <alignment/>
    </xf>
    <xf numFmtId="170" fontId="1" fillId="0" borderId="0" xfId="0" applyNumberFormat="1" applyFont="1" applyAlignment="1">
      <alignment/>
    </xf>
    <xf numFmtId="6" fontId="3" fillId="0" borderId="0" xfId="0" applyNumberFormat="1" applyFont="1" applyAlignment="1">
      <alignment horizontal="center"/>
    </xf>
    <xf numFmtId="6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170" fontId="0" fillId="0" borderId="1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6" fontId="6" fillId="0" borderId="0" xfId="17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" fontId="6" fillId="0" borderId="0" xfId="15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2"/>
    </xf>
    <xf numFmtId="49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Alignment="1">
      <alignment horizontal="left" indent="2"/>
    </xf>
    <xf numFmtId="166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166" fontId="0" fillId="0" borderId="0" xfId="17" applyNumberFormat="1" applyAlignment="1">
      <alignment horizontal="center"/>
    </xf>
    <xf numFmtId="166" fontId="6" fillId="0" borderId="1" xfId="17" applyNumberFormat="1" applyFont="1" applyBorder="1" applyAlignment="1">
      <alignment horizontal="left" indent="1"/>
    </xf>
    <xf numFmtId="171" fontId="6" fillId="0" borderId="0" xfId="15" applyNumberFormat="1" applyFont="1" applyAlignment="1">
      <alignment horizontal="left" indent="2"/>
    </xf>
    <xf numFmtId="0" fontId="2" fillId="0" borderId="0" xfId="0" applyNumberFormat="1" applyFont="1" applyAlignment="1">
      <alignment/>
    </xf>
    <xf numFmtId="6" fontId="6" fillId="0" borderId="0" xfId="17" applyNumberFormat="1" applyFont="1" applyAlignment="1">
      <alignment/>
    </xf>
    <xf numFmtId="6" fontId="0" fillId="0" borderId="0" xfId="0" applyNumberFormat="1" applyFont="1" applyAlignment="1">
      <alignment/>
    </xf>
    <xf numFmtId="6" fontId="3" fillId="0" borderId="0" xfId="0" applyNumberFormat="1" applyFont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6" fillId="0" borderId="1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/>
    </xf>
    <xf numFmtId="6" fontId="2" fillId="0" borderId="3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6" fontId="2" fillId="0" borderId="3" xfId="17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1" fontId="0" fillId="0" borderId="0" xfId="15" applyNumberFormat="1" applyAlignment="1">
      <alignment horizontal="center"/>
    </xf>
    <xf numFmtId="6" fontId="0" fillId="0" borderId="0" xfId="17" applyNumberFormat="1" applyFont="1" applyAlignment="1">
      <alignment/>
    </xf>
    <xf numFmtId="44" fontId="0" fillId="0" borderId="0" xfId="17" applyAlignment="1">
      <alignment/>
    </xf>
    <xf numFmtId="44" fontId="0" fillId="0" borderId="0" xfId="17" applyAlignment="1">
      <alignment horizontal="center"/>
    </xf>
    <xf numFmtId="44" fontId="0" fillId="0" borderId="0" xfId="17" applyFont="1" applyFill="1" applyBorder="1" applyAlignment="1">
      <alignment horizontal="center"/>
    </xf>
    <xf numFmtId="44" fontId="3" fillId="0" borderId="0" xfId="17" applyFont="1" applyAlignment="1">
      <alignment horizontal="center"/>
    </xf>
    <xf numFmtId="166" fontId="0" fillId="0" borderId="0" xfId="17" applyNumberFormat="1" applyFont="1" applyAlignment="1">
      <alignment horizontal="center"/>
    </xf>
    <xf numFmtId="166" fontId="0" fillId="0" borderId="0" xfId="17" applyNumberFormat="1" applyFont="1" applyFill="1" applyBorder="1" applyAlignment="1">
      <alignment horizontal="center"/>
    </xf>
    <xf numFmtId="166" fontId="3" fillId="0" borderId="0" xfId="17" applyNumberFormat="1" applyFont="1" applyAlignment="1">
      <alignment horizontal="center"/>
    </xf>
    <xf numFmtId="166" fontId="1" fillId="0" borderId="0" xfId="17" applyNumberFormat="1" applyFont="1" applyAlignment="1">
      <alignment/>
    </xf>
    <xf numFmtId="44" fontId="0" fillId="0" borderId="0" xfId="17" applyFont="1" applyBorder="1" applyAlignment="1">
      <alignment horizontal="center"/>
    </xf>
    <xf numFmtId="44" fontId="0" fillId="0" borderId="1" xfId="17" applyBorder="1" applyAlignment="1">
      <alignment/>
    </xf>
    <xf numFmtId="44" fontId="6" fillId="0" borderId="1" xfId="17" applyFont="1" applyBorder="1" applyAlignment="1">
      <alignment/>
    </xf>
    <xf numFmtId="44" fontId="0" fillId="0" borderId="1" xfId="17" applyBorder="1" applyAlignment="1">
      <alignment horizontal="center"/>
    </xf>
    <xf numFmtId="166" fontId="3" fillId="0" borderId="0" xfId="17" applyNumberFormat="1" applyFont="1" applyBorder="1" applyAlignment="1">
      <alignment horizontal="center"/>
    </xf>
    <xf numFmtId="166" fontId="0" fillId="0" borderId="0" xfId="17" applyNumberFormat="1" applyFont="1" applyAlignment="1">
      <alignment horizontal="center"/>
    </xf>
    <xf numFmtId="166" fontId="3" fillId="0" borderId="0" xfId="17" applyNumberFormat="1" applyFont="1" applyAlignment="1">
      <alignment horizontal="center"/>
    </xf>
    <xf numFmtId="6" fontId="2" fillId="0" borderId="8" xfId="17" applyNumberFormat="1" applyFont="1" applyBorder="1" applyAlignment="1">
      <alignment horizontal="center"/>
    </xf>
    <xf numFmtId="166" fontId="0" fillId="0" borderId="0" xfId="17" applyNumberFormat="1" applyFont="1" applyBorder="1" applyAlignment="1">
      <alignment horizontal="center"/>
    </xf>
    <xf numFmtId="8" fontId="6" fillId="0" borderId="1" xfId="0" applyNumberFormat="1" applyFont="1" applyBorder="1" applyAlignment="1">
      <alignment/>
    </xf>
    <xf numFmtId="6" fontId="0" fillId="0" borderId="0" xfId="17" applyNumberFormat="1" applyAlignment="1">
      <alignment horizontal="center"/>
    </xf>
    <xf numFmtId="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liddell.CORP\Local%20Settings\Temporary%20Internet%20Files\OLK1AC\Temp%20Mobitrac%20Financials%2002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udget Detail"/>
      <sheetName val="Income Statement"/>
      <sheetName val="Balance Sheet"/>
      <sheetName val="SCF"/>
      <sheetName val="Headcount"/>
    </sheetNames>
    <sheetDataSet>
      <sheetData sheetId="5"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12" sqref="E12"/>
    </sheetView>
  </sheetViews>
  <sheetFormatPr defaultColWidth="9.140625" defaultRowHeight="12.75"/>
  <cols>
    <col min="2" max="2" width="24.57421875" style="0" customWidth="1"/>
    <col min="3" max="7" width="14.00390625" style="0" bestFit="1" customWidth="1"/>
  </cols>
  <sheetData>
    <row r="2" spans="3:7" ht="12.75">
      <c r="C2" s="43">
        <v>2004</v>
      </c>
      <c r="D2" s="43">
        <v>2005</v>
      </c>
      <c r="E2" s="43">
        <v>2006</v>
      </c>
      <c r="F2" s="43">
        <v>2007</v>
      </c>
      <c r="G2" s="43">
        <v>2008</v>
      </c>
    </row>
    <row r="4" spans="2:7" ht="12.75">
      <c r="B4" s="137" t="str">
        <f>'Income Statement'!B3</f>
        <v># of New Licenses</v>
      </c>
      <c r="C4" s="138">
        <f>'Income Statement'!Q3</f>
        <v>12</v>
      </c>
      <c r="D4" s="138">
        <f>'Income Statement'!X3</f>
        <v>32</v>
      </c>
      <c r="E4" s="138">
        <f>'Income Statement'!AE3</f>
        <v>69</v>
      </c>
      <c r="F4" s="138">
        <f>'Income Statement'!AL3</f>
        <v>108</v>
      </c>
      <c r="G4" s="138">
        <f>'Income Statement'!AS3</f>
        <v>190</v>
      </c>
    </row>
    <row r="5" spans="2:7" ht="12.75">
      <c r="B5" s="137" t="str">
        <f>'Income Statement'!B4</f>
        <v># of Managed Assets</v>
      </c>
      <c r="C5" s="138">
        <f>'Income Statement'!Q4</f>
        <v>710</v>
      </c>
      <c r="D5" s="138">
        <f>'Income Statement'!X4</f>
        <v>3050</v>
      </c>
      <c r="E5" s="138">
        <f>'Income Statement'!AE4</f>
        <v>8325</v>
      </c>
      <c r="F5" s="138">
        <f>'Income Statement'!AL4</f>
        <v>16200</v>
      </c>
      <c r="G5" s="138">
        <f>'Income Statement'!AS4</f>
        <v>28500</v>
      </c>
    </row>
    <row r="6" spans="2:7" ht="12.75">
      <c r="B6" s="137" t="str">
        <f>'Income Statement'!B5</f>
        <v>Revenue per Managed Asset</v>
      </c>
      <c r="C6" s="117">
        <f>'Income Statement'!Q5</f>
        <v>750</v>
      </c>
      <c r="D6" s="117">
        <f>'Income Statement'!X5</f>
        <v>850</v>
      </c>
      <c r="E6" s="117">
        <f>'Income Statement'!AE5</f>
        <v>900</v>
      </c>
      <c r="F6" s="117">
        <f>'Income Statement'!AL5</f>
        <v>900</v>
      </c>
      <c r="G6" s="117">
        <f>'Income Statement'!AS5</f>
        <v>900</v>
      </c>
    </row>
    <row r="8" spans="2:7" ht="12.75">
      <c r="B8" s="28" t="s">
        <v>92</v>
      </c>
      <c r="C8" s="121">
        <f>'Income Statement'!Q6</f>
        <v>482000</v>
      </c>
      <c r="D8" s="121">
        <f>'Income Statement'!X6</f>
        <v>2525000</v>
      </c>
      <c r="E8" s="121">
        <f>'Income Statement'!AE6</f>
        <v>7492500</v>
      </c>
      <c r="F8" s="121">
        <f>'Income Statement'!AL6</f>
        <v>14580000</v>
      </c>
      <c r="G8" s="121">
        <f>'Income Statement'!AS6</f>
        <v>25650000</v>
      </c>
    </row>
    <row r="9" spans="2:7" ht="12.75">
      <c r="B9" s="28"/>
      <c r="C9" s="121"/>
      <c r="D9" s="121"/>
      <c r="E9" s="121"/>
      <c r="F9" s="121"/>
      <c r="G9" s="121"/>
    </row>
    <row r="10" spans="2:7" ht="12.75">
      <c r="B10" t="s">
        <v>94</v>
      </c>
      <c r="C10" s="78">
        <f>'Income Statement'!Q22+'Income Statement'!Q9+'Income Statement'!Q10</f>
        <v>1586057.066666667</v>
      </c>
      <c r="D10" s="78">
        <f>'Income Statement'!X22+'Income Statement'!X9+'Income Statement'!X10</f>
        <v>3325500</v>
      </c>
      <c r="E10" s="78">
        <f>'Income Statement'!AE22+'Income Statement'!AE9+'Income Statement'!AE10</f>
        <v>3848002.3</v>
      </c>
      <c r="F10" s="78">
        <f>+'Income Statement'!AL22+'Income Statement'!AL9+'Income Statement'!AL10</f>
        <v>4413604.6</v>
      </c>
      <c r="G10" s="78">
        <f>'Income Statement'!AS22+'Income Statement'!AS9+'Income Statement'!AS10</f>
        <v>4804604.6</v>
      </c>
    </row>
    <row r="11" spans="2:7" ht="12.75">
      <c r="B11" t="s">
        <v>99</v>
      </c>
      <c r="C11" s="78">
        <f>'Income Statement'!Q17+'Income Statement'!Q28+'Income Statement'!Q30+'Income Statement'!Q31+'Income Statement'!Q32+'Income Statement'!Q33+'Income Statement'!Q34</f>
        <v>359750</v>
      </c>
      <c r="D11" s="78">
        <f>'Income Statement'!X17+'Income Statement'!X28+'Income Statement'!X30+'Income Statement'!X31+'Income Statement'!X32+'Income Statement'!X33+'Income Statement'!X34</f>
        <v>407000</v>
      </c>
      <c r="E11" s="78">
        <f>'Income Statement'!AE17+'Income Statement'!AE28+'Income Statement'!AE30+'Income Statement'!AE31+'Income Statement'!AE32+'Income Statement'!AE33+'Income Statement'!AE34</f>
        <v>670000</v>
      </c>
      <c r="F11" s="78">
        <f>'Income Statement'!AL17+'Income Statement'!AL28+'Income Statement'!AL30+'Income Statement'!AL31+'Income Statement'!AL32+'Income Statement'!AL33+'Income Statement'!AL34</f>
        <v>786000</v>
      </c>
      <c r="G11" s="78">
        <f>'Income Statement'!AS17+'Income Statement'!AS28+'Income Statement'!AS30+'Income Statement'!AS31+'Income Statement'!AS32+'Income Statement'!AS33+'Income Statement'!AS34</f>
        <v>896000</v>
      </c>
    </row>
    <row r="12" spans="2:7" ht="12.75">
      <c r="B12" t="s">
        <v>0</v>
      </c>
      <c r="C12" s="78">
        <f>'Income Statement'!Q46</f>
        <v>14363.770723486807</v>
      </c>
      <c r="D12" s="139">
        <f>'Income Statement'!X46</f>
        <v>20918.123440672716</v>
      </c>
      <c r="E12" s="139">
        <f>'Income Statement'!AE46</f>
        <v>293659.90196819947</v>
      </c>
      <c r="F12" s="139">
        <f>'Income Statement'!AL46</f>
        <v>2843998.3460633922</v>
      </c>
      <c r="G12" s="139">
        <f>'Income Statement'!AS46</f>
        <v>6021226.5951894205</v>
      </c>
    </row>
    <row r="13" spans="3:7" ht="12.75">
      <c r="C13" s="78"/>
      <c r="D13" s="78"/>
      <c r="E13" s="78"/>
      <c r="F13" s="78"/>
      <c r="G13" s="78"/>
    </row>
    <row r="14" spans="2:7" ht="12.75">
      <c r="B14" s="28" t="s">
        <v>2</v>
      </c>
      <c r="C14" s="121">
        <f>C8-C10-C11-C12</f>
        <v>-1478170.8373901537</v>
      </c>
      <c r="D14" s="121">
        <f>D8-D10-D11-D12</f>
        <v>-1228418.1234406726</v>
      </c>
      <c r="E14" s="121">
        <f>E8-E10-E11-E12</f>
        <v>2680837.798031801</v>
      </c>
      <c r="F14" s="121">
        <f>F8-F10-F11-F12</f>
        <v>6536397.053936608</v>
      </c>
      <c r="G14" s="121">
        <f>G8-G10-G11-G12</f>
        <v>13928168.804810578</v>
      </c>
    </row>
    <row r="15" spans="3:7" ht="12.75">
      <c r="C15" s="78"/>
      <c r="D15" s="78"/>
      <c r="E15" s="78"/>
      <c r="F15" s="78"/>
      <c r="G15" s="78"/>
    </row>
    <row r="16" spans="2:7" ht="12.75">
      <c r="B16" t="s">
        <v>101</v>
      </c>
      <c r="C16" s="29">
        <f>'Income Statement'!Q50</f>
        <v>63000</v>
      </c>
      <c r="D16" s="29">
        <f>'Income Statement'!X50</f>
        <v>36250</v>
      </c>
      <c r="E16" s="29">
        <f>'Income Statement'!AE50</f>
        <v>41250</v>
      </c>
      <c r="F16" s="29">
        <f>'Income Statement'!AL50</f>
        <v>66250</v>
      </c>
      <c r="G16" s="29">
        <f>'Income Statement'!AS50</f>
        <v>74750</v>
      </c>
    </row>
    <row r="17" spans="3:7" ht="12.75">
      <c r="C17" s="29"/>
      <c r="D17" s="29"/>
      <c r="E17" s="29"/>
      <c r="F17" s="29"/>
      <c r="G17" s="29"/>
    </row>
    <row r="18" spans="2:7" ht="12.75">
      <c r="B18" t="s">
        <v>131</v>
      </c>
      <c r="C18" s="29">
        <f>C14-C16</f>
        <v>-1541170.8373901537</v>
      </c>
      <c r="D18" s="29">
        <f>D14-D16</f>
        <v>-1264668.1234406726</v>
      </c>
      <c r="E18" s="29">
        <f>E14-E16</f>
        <v>2639587.798031801</v>
      </c>
      <c r="F18" s="29">
        <f>F14-F16</f>
        <v>6470147.053936608</v>
      </c>
      <c r="G18" s="29">
        <f>G14-G16</f>
        <v>13853418.804810578</v>
      </c>
    </row>
    <row r="19" spans="3:7" ht="12.75">
      <c r="C19" s="29"/>
      <c r="D19" s="29"/>
      <c r="E19" s="29"/>
      <c r="F19" s="29"/>
      <c r="G19" s="29"/>
    </row>
    <row r="20" spans="2:7" ht="12.75">
      <c r="B20" t="s">
        <v>132</v>
      </c>
      <c r="C20" s="29">
        <f>C18</f>
        <v>-1541170.8373901537</v>
      </c>
      <c r="D20" s="29">
        <f>C20+D18</f>
        <v>-2805838.9608308263</v>
      </c>
      <c r="E20" s="29">
        <f>D20+E18</f>
        <v>-166251.16279902542</v>
      </c>
      <c r="F20" s="29">
        <f>E20+F18</f>
        <v>6303895.891137583</v>
      </c>
      <c r="G20" s="29">
        <f>F20+G18</f>
        <v>20157314.69594816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S53"/>
  <sheetViews>
    <sheetView workbookViewId="0" topLeftCell="A1">
      <pane xSplit="2" ySplit="2" topLeftCell="AM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28125" style="0" customWidth="1"/>
    <col min="2" max="2" width="34.421875" style="5" customWidth="1"/>
    <col min="3" max="3" width="2.00390625" style="0" customWidth="1"/>
    <col min="4" max="4" width="12.28125" style="0" bestFit="1" customWidth="1"/>
    <col min="5" max="6" width="12.421875" style="0" bestFit="1" customWidth="1"/>
    <col min="7" max="7" width="11.57421875" style="0" bestFit="1" customWidth="1"/>
    <col min="8" max="8" width="11.57421875" style="0" customWidth="1"/>
    <col min="9" max="10" width="12.8515625" style="0" bestFit="1" customWidth="1"/>
    <col min="11" max="14" width="12.421875" style="0" bestFit="1" customWidth="1"/>
    <col min="15" max="15" width="11.8515625" style="0" customWidth="1"/>
    <col min="16" max="16" width="1.28515625" style="0" customWidth="1"/>
    <col min="17" max="17" width="11.57421875" style="0" customWidth="1"/>
    <col min="18" max="18" width="1.57421875" style="0" customWidth="1"/>
    <col min="19" max="19" width="11.57421875" style="0" customWidth="1"/>
    <col min="20" max="20" width="12.8515625" style="0" customWidth="1"/>
    <col min="21" max="21" width="12.28125" style="0" bestFit="1" customWidth="1"/>
    <col min="22" max="22" width="12.140625" style="0" customWidth="1"/>
    <col min="23" max="23" width="1.8515625" style="0" customWidth="1"/>
    <col min="24" max="24" width="13.00390625" style="0" customWidth="1"/>
    <col min="25" max="25" width="2.00390625" style="0" customWidth="1"/>
    <col min="26" max="26" width="12.8515625" style="0" customWidth="1"/>
    <col min="27" max="27" width="11.7109375" style="0" customWidth="1"/>
    <col min="28" max="28" width="12.421875" style="0" customWidth="1"/>
    <col min="29" max="29" width="11.8515625" style="0" customWidth="1"/>
    <col min="30" max="30" width="2.28125" style="0" customWidth="1"/>
    <col min="31" max="31" width="13.00390625" style="0" customWidth="1"/>
    <col min="32" max="32" width="2.00390625" style="0" customWidth="1"/>
    <col min="33" max="33" width="12.8515625" style="0" customWidth="1"/>
    <col min="34" max="34" width="11.7109375" style="0" customWidth="1"/>
    <col min="35" max="35" width="12.421875" style="0" customWidth="1"/>
    <col min="36" max="36" width="11.8515625" style="0" customWidth="1"/>
    <col min="37" max="37" width="2.28125" style="0" customWidth="1"/>
    <col min="38" max="38" width="13.00390625" style="0" customWidth="1"/>
    <col min="39" max="39" width="2.00390625" style="0" customWidth="1"/>
    <col min="40" max="40" width="12.8515625" style="0" customWidth="1"/>
    <col min="41" max="41" width="11.7109375" style="0" customWidth="1"/>
    <col min="42" max="42" width="12.421875" style="0" customWidth="1"/>
    <col min="43" max="43" width="11.8515625" style="0" customWidth="1"/>
    <col min="44" max="44" width="2.28125" style="0" customWidth="1"/>
    <col min="45" max="45" width="13.00390625" style="0" customWidth="1"/>
  </cols>
  <sheetData>
    <row r="1" ht="12.75">
      <c r="B1" s="5" t="s">
        <v>147</v>
      </c>
    </row>
    <row r="2" spans="2:45" s="4" customFormat="1" ht="12.75">
      <c r="B2" s="3"/>
      <c r="D2" s="42">
        <v>37987</v>
      </c>
      <c r="E2" s="42">
        <v>38018</v>
      </c>
      <c r="F2" s="42">
        <v>38047</v>
      </c>
      <c r="G2" s="42">
        <v>38078</v>
      </c>
      <c r="H2" s="42">
        <v>38108</v>
      </c>
      <c r="I2" s="42">
        <v>38139</v>
      </c>
      <c r="J2" s="42">
        <v>38169</v>
      </c>
      <c r="K2" s="42">
        <v>38200</v>
      </c>
      <c r="L2" s="42">
        <v>38231</v>
      </c>
      <c r="M2" s="42">
        <v>38261</v>
      </c>
      <c r="N2" s="42">
        <v>38292</v>
      </c>
      <c r="O2" s="42">
        <v>38322</v>
      </c>
      <c r="P2" s="47"/>
      <c r="Q2" s="43" t="s">
        <v>52</v>
      </c>
      <c r="S2" s="28" t="s">
        <v>29</v>
      </c>
      <c r="T2" s="28" t="s">
        <v>30</v>
      </c>
      <c r="U2" s="28" t="s">
        <v>31</v>
      </c>
      <c r="V2" s="28" t="s">
        <v>32</v>
      </c>
      <c r="W2" s="28"/>
      <c r="X2" s="33" t="s">
        <v>33</v>
      </c>
      <c r="Y2" s="28"/>
      <c r="Z2" s="28" t="s">
        <v>34</v>
      </c>
      <c r="AA2" s="28" t="s">
        <v>35</v>
      </c>
      <c r="AB2" s="28" t="s">
        <v>36</v>
      </c>
      <c r="AC2" s="28" t="s">
        <v>37</v>
      </c>
      <c r="AD2" s="28"/>
      <c r="AE2" s="28" t="s">
        <v>38</v>
      </c>
      <c r="AG2" s="28" t="s">
        <v>120</v>
      </c>
      <c r="AH2" s="28" t="s">
        <v>121</v>
      </c>
      <c r="AI2" s="28" t="s">
        <v>122</v>
      </c>
      <c r="AJ2" s="28" t="s">
        <v>123</v>
      </c>
      <c r="AK2" s="28"/>
      <c r="AL2" s="28" t="s">
        <v>124</v>
      </c>
      <c r="AN2" s="28" t="s">
        <v>126</v>
      </c>
      <c r="AO2" s="28" t="s">
        <v>127</v>
      </c>
      <c r="AP2" s="28" t="s">
        <v>128</v>
      </c>
      <c r="AQ2" s="28" t="s">
        <v>129</v>
      </c>
      <c r="AR2" s="28"/>
      <c r="AS2" s="28" t="s">
        <v>130</v>
      </c>
    </row>
    <row r="3" spans="2:45" s="4" customFormat="1" ht="12.75">
      <c r="B3" s="108" t="s">
        <v>119</v>
      </c>
      <c r="D3" s="43">
        <v>1</v>
      </c>
      <c r="E3" s="43">
        <v>0</v>
      </c>
      <c r="F3" s="43">
        <v>0</v>
      </c>
      <c r="G3" s="43">
        <v>1</v>
      </c>
      <c r="H3" s="43">
        <v>1</v>
      </c>
      <c r="I3" s="134">
        <v>0</v>
      </c>
      <c r="J3" s="134">
        <v>1</v>
      </c>
      <c r="K3" s="43">
        <v>2</v>
      </c>
      <c r="L3" s="43">
        <v>2</v>
      </c>
      <c r="M3" s="43">
        <v>2</v>
      </c>
      <c r="N3" s="43">
        <v>2</v>
      </c>
      <c r="O3" s="43">
        <v>0</v>
      </c>
      <c r="P3" s="47"/>
      <c r="Q3" s="109">
        <f>SUM(D3:O3)</f>
        <v>12</v>
      </c>
      <c r="S3" s="43">
        <v>6</v>
      </c>
      <c r="T3" s="43">
        <v>9</v>
      </c>
      <c r="U3" s="43">
        <v>10</v>
      </c>
      <c r="V3" s="43">
        <v>7</v>
      </c>
      <c r="W3" s="28"/>
      <c r="X3" s="43">
        <f>SUM(S3:W3)</f>
        <v>32</v>
      </c>
      <c r="Y3" s="28"/>
      <c r="Z3" s="28">
        <v>12</v>
      </c>
      <c r="AA3" s="28">
        <v>18</v>
      </c>
      <c r="AB3" s="28">
        <v>21</v>
      </c>
      <c r="AC3" s="28">
        <v>18</v>
      </c>
      <c r="AD3" s="28"/>
      <c r="AE3" s="28">
        <f>SUM(Z3:AD3)</f>
        <v>69</v>
      </c>
      <c r="AG3" s="28">
        <v>21</v>
      </c>
      <c r="AH3" s="119">
        <v>30</v>
      </c>
      <c r="AI3" s="119">
        <v>30</v>
      </c>
      <c r="AJ3" s="28">
        <v>27</v>
      </c>
      <c r="AK3" s="28"/>
      <c r="AL3" s="28">
        <f>SUM(AG3:AK3)</f>
        <v>108</v>
      </c>
      <c r="AN3" s="28">
        <v>30</v>
      </c>
      <c r="AO3" s="119">
        <v>60</v>
      </c>
      <c r="AP3" s="119">
        <v>60</v>
      </c>
      <c r="AQ3" s="28">
        <v>40</v>
      </c>
      <c r="AR3" s="28"/>
      <c r="AS3" s="28">
        <f>SUM(AN3:AR3)</f>
        <v>190</v>
      </c>
    </row>
    <row r="4" spans="2:45" s="4" customFormat="1" ht="12.75">
      <c r="B4" s="108" t="s">
        <v>117</v>
      </c>
      <c r="D4" s="43">
        <v>30</v>
      </c>
      <c r="E4" s="43">
        <v>30</v>
      </c>
      <c r="F4" s="43">
        <v>40</v>
      </c>
      <c r="G4" s="43">
        <v>50</v>
      </c>
      <c r="H4" s="43">
        <v>100</v>
      </c>
      <c r="I4" s="134">
        <v>50</v>
      </c>
      <c r="J4" s="134">
        <v>50</v>
      </c>
      <c r="K4" s="43">
        <v>40</v>
      </c>
      <c r="L4" s="43">
        <v>75</v>
      </c>
      <c r="M4" s="43">
        <v>50</v>
      </c>
      <c r="N4" s="43">
        <v>75</v>
      </c>
      <c r="O4" s="43">
        <v>50</v>
      </c>
      <c r="P4" s="47"/>
      <c r="Q4" s="109">
        <f>D3*D4+E3*E4+F3*F4+G3*G4+H3*H4+I3*I4+J3*J4+K3*K4+L3*L4+M3*M4+N3*N4+O3*O4</f>
        <v>710</v>
      </c>
      <c r="S4" s="43">
        <v>75</v>
      </c>
      <c r="T4" s="43">
        <v>100</v>
      </c>
      <c r="U4" s="43">
        <v>100</v>
      </c>
      <c r="V4" s="43">
        <v>100</v>
      </c>
      <c r="W4" s="28"/>
      <c r="X4" s="43">
        <f>S3*S4+T3*T4+U3*U4+V3*V4</f>
        <v>3050</v>
      </c>
      <c r="Y4" s="28"/>
      <c r="Z4" s="28">
        <v>100</v>
      </c>
      <c r="AA4" s="28">
        <v>125</v>
      </c>
      <c r="AB4" s="28">
        <v>125</v>
      </c>
      <c r="AC4" s="28">
        <v>125</v>
      </c>
      <c r="AD4" s="28"/>
      <c r="AE4" s="43">
        <f>Z3*Z4+AA3*AA4+AB3*AB4+AC3*AC4</f>
        <v>8325</v>
      </c>
      <c r="AG4" s="28">
        <v>150</v>
      </c>
      <c r="AH4" s="28">
        <v>150</v>
      </c>
      <c r="AI4" s="28">
        <v>150</v>
      </c>
      <c r="AJ4" s="28">
        <v>150</v>
      </c>
      <c r="AK4" s="28"/>
      <c r="AL4" s="43">
        <f>AG3*AG4+AH3*AH4+AI3*AI4+AJ3*AJ4</f>
        <v>16200</v>
      </c>
      <c r="AN4" s="28">
        <v>150</v>
      </c>
      <c r="AO4" s="28">
        <v>150</v>
      </c>
      <c r="AP4" s="28">
        <v>150</v>
      </c>
      <c r="AQ4" s="28">
        <v>150</v>
      </c>
      <c r="AR4" s="28"/>
      <c r="AS4" s="43">
        <f>AN3*AN4+AO3*AO4+AP3*AP4+AQ3*AQ4</f>
        <v>28500</v>
      </c>
    </row>
    <row r="5" spans="2:45" s="4" customFormat="1" ht="12.75">
      <c r="B5" s="116" t="s">
        <v>118</v>
      </c>
      <c r="D5" s="107">
        <v>500</v>
      </c>
      <c r="E5" s="107">
        <v>650</v>
      </c>
      <c r="F5" s="107">
        <v>650</v>
      </c>
      <c r="G5" s="107">
        <v>650</v>
      </c>
      <c r="H5" s="107">
        <v>650</v>
      </c>
      <c r="I5" s="107">
        <v>650</v>
      </c>
      <c r="J5" s="107">
        <v>650</v>
      </c>
      <c r="K5" s="107">
        <v>650</v>
      </c>
      <c r="L5" s="107">
        <v>650</v>
      </c>
      <c r="M5" s="107">
        <v>750</v>
      </c>
      <c r="N5" s="107">
        <v>750</v>
      </c>
      <c r="O5" s="107">
        <v>750</v>
      </c>
      <c r="P5" s="47"/>
      <c r="Q5" s="134">
        <f>O5</f>
        <v>750</v>
      </c>
      <c r="S5" s="107">
        <v>800</v>
      </c>
      <c r="T5" s="107">
        <v>800</v>
      </c>
      <c r="U5" s="107">
        <v>850</v>
      </c>
      <c r="V5" s="107">
        <v>850</v>
      </c>
      <c r="W5" s="28"/>
      <c r="X5" s="134">
        <f>V5</f>
        <v>850</v>
      </c>
      <c r="Y5" s="28"/>
      <c r="Z5" s="63">
        <v>900</v>
      </c>
      <c r="AA5" s="63">
        <v>900</v>
      </c>
      <c r="AB5" s="63">
        <v>900</v>
      </c>
      <c r="AC5" s="63">
        <v>900</v>
      </c>
      <c r="AD5" s="28"/>
      <c r="AE5" s="56">
        <f>AC5</f>
        <v>900</v>
      </c>
      <c r="AG5" s="63">
        <v>900</v>
      </c>
      <c r="AH5" s="63">
        <v>900</v>
      </c>
      <c r="AI5" s="63">
        <v>900</v>
      </c>
      <c r="AJ5" s="63">
        <v>900</v>
      </c>
      <c r="AK5" s="28"/>
      <c r="AL5" s="28">
        <f>AJ5</f>
        <v>900</v>
      </c>
      <c r="AN5" s="63">
        <v>900</v>
      </c>
      <c r="AO5" s="63">
        <v>900</v>
      </c>
      <c r="AP5" s="63">
        <v>900</v>
      </c>
      <c r="AQ5" s="63">
        <v>900</v>
      </c>
      <c r="AR5" s="63"/>
      <c r="AS5" s="63">
        <f>AQ5</f>
        <v>900</v>
      </c>
    </row>
    <row r="6" spans="2:45" ht="12" customHeight="1">
      <c r="B6" s="11" t="s">
        <v>102</v>
      </c>
      <c r="C6" s="15"/>
      <c r="D6" s="15">
        <f>D5*D4*D3</f>
        <v>15000</v>
      </c>
      <c r="E6" s="15">
        <f aca="true" t="shared" si="0" ref="E6:O6">E5*E4*E3</f>
        <v>0</v>
      </c>
      <c r="F6" s="15">
        <f t="shared" si="0"/>
        <v>0</v>
      </c>
      <c r="G6" s="15">
        <f t="shared" si="0"/>
        <v>32500</v>
      </c>
      <c r="H6" s="15">
        <f t="shared" si="0"/>
        <v>65000</v>
      </c>
      <c r="I6" s="15">
        <f t="shared" si="0"/>
        <v>0</v>
      </c>
      <c r="J6" s="15">
        <f t="shared" si="0"/>
        <v>32500</v>
      </c>
      <c r="K6" s="15">
        <f t="shared" si="0"/>
        <v>52000</v>
      </c>
      <c r="L6" s="15">
        <f t="shared" si="0"/>
        <v>97500</v>
      </c>
      <c r="M6" s="15">
        <f t="shared" si="0"/>
        <v>75000</v>
      </c>
      <c r="N6" s="15">
        <f t="shared" si="0"/>
        <v>112500</v>
      </c>
      <c r="O6" s="15">
        <f t="shared" si="0"/>
        <v>0</v>
      </c>
      <c r="P6" s="18" t="e">
        <f>ROUND(#REF!+#REF!+#REF!,5)</f>
        <v>#REF!</v>
      </c>
      <c r="Q6" s="15">
        <f>SUM(D6:O6)</f>
        <v>482000</v>
      </c>
      <c r="R6" s="18"/>
      <c r="S6" s="15">
        <f>S3*S4*S5</f>
        <v>360000</v>
      </c>
      <c r="T6" s="15">
        <f>T3*T4*T5</f>
        <v>720000</v>
      </c>
      <c r="U6" s="15">
        <f>U3*U4*U5</f>
        <v>850000</v>
      </c>
      <c r="V6" s="15">
        <f>V3*V4*V5</f>
        <v>595000</v>
      </c>
      <c r="W6" s="15"/>
      <c r="X6" s="118">
        <f>SUM(S6:W6)</f>
        <v>2525000</v>
      </c>
      <c r="Y6" s="18"/>
      <c r="Z6" s="15">
        <f>Z5*Z4*Z3</f>
        <v>1080000</v>
      </c>
      <c r="AA6" s="15">
        <f>AA5*AA4*AA3</f>
        <v>2025000</v>
      </c>
      <c r="AB6" s="15">
        <f>AB5*AB4*AB3</f>
        <v>2362500</v>
      </c>
      <c r="AC6" s="15">
        <f>AC5*AC4*AC3</f>
        <v>2025000</v>
      </c>
      <c r="AD6" s="18"/>
      <c r="AE6" s="15">
        <f>SUM(Z6:AD6)</f>
        <v>7492500</v>
      </c>
      <c r="AG6" s="15">
        <f>AG5*AG4*AG3</f>
        <v>2835000</v>
      </c>
      <c r="AH6" s="15">
        <f>AH5*AH4*AH3</f>
        <v>4050000</v>
      </c>
      <c r="AI6" s="15">
        <f>AI5*AI4*AI3</f>
        <v>4050000</v>
      </c>
      <c r="AJ6" s="15">
        <f>AJ5*AJ4*AJ3</f>
        <v>3645000</v>
      </c>
      <c r="AK6" s="18"/>
      <c r="AL6" s="64">
        <f>SUM(AG6:AK6)</f>
        <v>14580000</v>
      </c>
      <c r="AN6" s="15">
        <f>AN5*AN4*AN3</f>
        <v>4050000</v>
      </c>
      <c r="AO6" s="15">
        <f>AO5*AO4*AO3</f>
        <v>8100000</v>
      </c>
      <c r="AP6" s="15">
        <f>AP5*AP4*AP3</f>
        <v>8100000</v>
      </c>
      <c r="AQ6" s="15">
        <f>AQ5*AQ4*AQ3</f>
        <v>5400000</v>
      </c>
      <c r="AR6" s="18"/>
      <c r="AS6" s="64">
        <f>SUM(AN6:AR6)</f>
        <v>25650000</v>
      </c>
    </row>
    <row r="7" spans="9:45" ht="13.5" customHeight="1">
      <c r="I7" s="23"/>
      <c r="J7" s="23"/>
      <c r="Q7" s="23"/>
      <c r="X7" s="41"/>
      <c r="AE7" s="66"/>
      <c r="AL7" s="66"/>
      <c r="AS7" s="66"/>
    </row>
    <row r="8" spans="2:45" ht="13.5" customHeight="1">
      <c r="B8" s="7" t="s">
        <v>115</v>
      </c>
      <c r="I8" s="23"/>
      <c r="J8" s="23"/>
      <c r="Q8" s="23"/>
      <c r="X8" s="41"/>
      <c r="AE8" s="66"/>
      <c r="AL8" s="66"/>
      <c r="AS8" s="66"/>
    </row>
    <row r="9" spans="2:45" ht="13.5" customHeight="1">
      <c r="B9" s="8" t="s">
        <v>17</v>
      </c>
      <c r="D9" s="51">
        <v>0</v>
      </c>
      <c r="E9" s="51">
        <f>D9</f>
        <v>0</v>
      </c>
      <c r="F9" s="51">
        <v>100</v>
      </c>
      <c r="G9" s="51">
        <v>0</v>
      </c>
      <c r="H9" s="51">
        <v>0</v>
      </c>
      <c r="I9" s="51">
        <v>100</v>
      </c>
      <c r="J9" s="51">
        <v>0</v>
      </c>
      <c r="K9" s="51">
        <f>J9</f>
        <v>0</v>
      </c>
      <c r="L9" s="51">
        <v>100</v>
      </c>
      <c r="M9" s="51">
        <v>0</v>
      </c>
      <c r="N9" s="51">
        <f>M9</f>
        <v>0</v>
      </c>
      <c r="O9" s="51">
        <f>N9</f>
        <v>0</v>
      </c>
      <c r="Q9" s="23">
        <f>SUM(D9:O9)</f>
        <v>300</v>
      </c>
      <c r="S9" s="57">
        <v>125</v>
      </c>
      <c r="T9" s="57">
        <f aca="true" t="shared" si="1" ref="T9:V10">S9</f>
        <v>125</v>
      </c>
      <c r="U9" s="57">
        <f t="shared" si="1"/>
        <v>125</v>
      </c>
      <c r="V9" s="57">
        <f t="shared" si="1"/>
        <v>125</v>
      </c>
      <c r="W9" s="57"/>
      <c r="X9" s="41">
        <f>SUM(S9:W9)</f>
        <v>500</v>
      </c>
      <c r="Z9" s="57">
        <f>X9/4</f>
        <v>125</v>
      </c>
      <c r="AA9" s="57">
        <f>Z9</f>
        <v>125</v>
      </c>
      <c r="AB9" s="57">
        <f>AA9</f>
        <v>125</v>
      </c>
      <c r="AC9" s="57">
        <f>AB9</f>
        <v>125</v>
      </c>
      <c r="AD9" s="57"/>
      <c r="AE9" s="66">
        <f>SUM(Z9:AD9)</f>
        <v>500</v>
      </c>
      <c r="AG9" s="57">
        <v>150</v>
      </c>
      <c r="AH9" s="57">
        <f>AG9</f>
        <v>150</v>
      </c>
      <c r="AI9" s="57">
        <f>AH9</f>
        <v>150</v>
      </c>
      <c r="AJ9" s="57">
        <f>AI9</f>
        <v>150</v>
      </c>
      <c r="AK9" s="57"/>
      <c r="AL9" s="66">
        <f aca="true" t="shared" si="2" ref="AL9:AL14">SUM(AG9:AK9)</f>
        <v>600</v>
      </c>
      <c r="AN9" s="57">
        <v>150</v>
      </c>
      <c r="AO9" s="57">
        <f>AN9</f>
        <v>150</v>
      </c>
      <c r="AP9" s="57">
        <f>AO9</f>
        <v>150</v>
      </c>
      <c r="AQ9" s="57">
        <f>AP9</f>
        <v>150</v>
      </c>
      <c r="AR9" s="57"/>
      <c r="AS9" s="66">
        <f>SUM(AN9:AR9)</f>
        <v>600</v>
      </c>
    </row>
    <row r="10" spans="2:45" ht="12.75">
      <c r="B10" s="8" t="s">
        <v>97</v>
      </c>
      <c r="D10" s="41">
        <v>1000</v>
      </c>
      <c r="E10" s="41">
        <f>D10</f>
        <v>1000</v>
      </c>
      <c r="F10" s="41">
        <f aca="true" t="shared" si="3" ref="F10:N10">E10</f>
        <v>1000</v>
      </c>
      <c r="G10" s="41">
        <f t="shared" si="3"/>
        <v>1000</v>
      </c>
      <c r="H10" s="41">
        <f t="shared" si="3"/>
        <v>1000</v>
      </c>
      <c r="I10" s="41">
        <v>2000</v>
      </c>
      <c r="J10" s="41">
        <f t="shared" si="3"/>
        <v>2000</v>
      </c>
      <c r="K10" s="41">
        <f t="shared" si="3"/>
        <v>2000</v>
      </c>
      <c r="L10" s="41">
        <v>2500</v>
      </c>
      <c r="M10" s="41">
        <f t="shared" si="3"/>
        <v>2500</v>
      </c>
      <c r="N10" s="41">
        <f t="shared" si="3"/>
        <v>2500</v>
      </c>
      <c r="O10" s="41">
        <v>3000</v>
      </c>
      <c r="Q10" s="23">
        <f>SUM(D10:O10)</f>
        <v>21500</v>
      </c>
      <c r="S10" s="57">
        <f>Q10/4</f>
        <v>5375</v>
      </c>
      <c r="T10" s="57">
        <f t="shared" si="1"/>
        <v>5375</v>
      </c>
      <c r="U10" s="57">
        <v>4000</v>
      </c>
      <c r="V10" s="57">
        <v>4000</v>
      </c>
      <c r="W10" s="23"/>
      <c r="X10" s="41">
        <f>SUM(S10:W10)</f>
        <v>18750</v>
      </c>
      <c r="Z10" s="57">
        <v>4000</v>
      </c>
      <c r="AA10" s="23">
        <v>4000</v>
      </c>
      <c r="AB10" s="23">
        <v>5000</v>
      </c>
      <c r="AC10" s="23">
        <v>5000</v>
      </c>
      <c r="AD10" s="23"/>
      <c r="AE10" s="66">
        <f>SUM(Z10:AD10)</f>
        <v>18000</v>
      </c>
      <c r="AG10" s="57">
        <v>5000</v>
      </c>
      <c r="AH10" s="23">
        <v>5000</v>
      </c>
      <c r="AI10" s="23">
        <v>5000</v>
      </c>
      <c r="AJ10" s="23">
        <v>5000</v>
      </c>
      <c r="AK10" s="23"/>
      <c r="AL10" s="66">
        <f t="shared" si="2"/>
        <v>20000</v>
      </c>
      <c r="AN10" s="57">
        <v>5000</v>
      </c>
      <c r="AO10" s="23">
        <v>5000</v>
      </c>
      <c r="AP10" s="23">
        <v>5000</v>
      </c>
      <c r="AQ10" s="23">
        <v>5000</v>
      </c>
      <c r="AR10" s="23"/>
      <c r="AS10" s="66">
        <f>SUM(AN10:AR10)</f>
        <v>20000</v>
      </c>
    </row>
    <row r="11" spans="2:45" ht="12.75">
      <c r="B11" s="8" t="s">
        <v>103</v>
      </c>
      <c r="I11" s="23"/>
      <c r="J11" s="23"/>
      <c r="Q11" s="23"/>
      <c r="S11" s="57"/>
      <c r="T11" s="57"/>
      <c r="U11" s="57"/>
      <c r="V11" s="57"/>
      <c r="X11" s="41"/>
      <c r="Z11" s="57"/>
      <c r="AE11" s="66"/>
      <c r="AG11" s="57"/>
      <c r="AL11" s="66"/>
      <c r="AN11" s="57"/>
      <c r="AS11" s="66"/>
    </row>
    <row r="12" spans="2:45" ht="12.75">
      <c r="B12" s="112" t="s">
        <v>95</v>
      </c>
      <c r="D12" s="80">
        <v>6250</v>
      </c>
      <c r="E12" s="49">
        <f>D12</f>
        <v>6250</v>
      </c>
      <c r="F12" s="49">
        <f aca="true" t="shared" si="4" ref="F12:O12">E12</f>
        <v>6250</v>
      </c>
      <c r="G12" s="49">
        <f t="shared" si="4"/>
        <v>6250</v>
      </c>
      <c r="H12" s="49">
        <f t="shared" si="4"/>
        <v>6250</v>
      </c>
      <c r="I12" s="49">
        <f t="shared" si="4"/>
        <v>6250</v>
      </c>
      <c r="J12" s="49">
        <f t="shared" si="4"/>
        <v>6250</v>
      </c>
      <c r="K12" s="49">
        <f t="shared" si="4"/>
        <v>6250</v>
      </c>
      <c r="L12" s="49">
        <f t="shared" si="4"/>
        <v>6250</v>
      </c>
      <c r="M12" s="49">
        <f t="shared" si="4"/>
        <v>6250</v>
      </c>
      <c r="N12" s="49">
        <f t="shared" si="4"/>
        <v>6250</v>
      </c>
      <c r="O12" s="49">
        <f t="shared" si="4"/>
        <v>6250</v>
      </c>
      <c r="Q12" s="23">
        <f>SUM(D12:O12)</f>
        <v>75000</v>
      </c>
      <c r="S12" s="57">
        <f>Q12/4</f>
        <v>18750</v>
      </c>
      <c r="T12" s="57">
        <f aca="true" t="shared" si="5" ref="T12:V14">S12</f>
        <v>18750</v>
      </c>
      <c r="U12" s="57">
        <f t="shared" si="5"/>
        <v>18750</v>
      </c>
      <c r="V12" s="57">
        <f t="shared" si="5"/>
        <v>18750</v>
      </c>
      <c r="W12" s="23"/>
      <c r="X12" s="41">
        <f>SUM(S12:W12)</f>
        <v>75000</v>
      </c>
      <c r="Z12" s="57">
        <f>X12/4</f>
        <v>18750</v>
      </c>
      <c r="AA12" s="57">
        <f aca="true" t="shared" si="6" ref="AA12:AC14">Z12</f>
        <v>18750</v>
      </c>
      <c r="AB12" s="57">
        <f t="shared" si="6"/>
        <v>18750</v>
      </c>
      <c r="AC12" s="57">
        <f t="shared" si="6"/>
        <v>18750</v>
      </c>
      <c r="AD12" s="23"/>
      <c r="AE12" s="66">
        <f>SUM(Z12:AD12)</f>
        <v>75000</v>
      </c>
      <c r="AG12" s="57">
        <f>AE12/4</f>
        <v>18750</v>
      </c>
      <c r="AH12" s="23">
        <f aca="true" t="shared" si="7" ref="AH12:AJ14">AG12</f>
        <v>18750</v>
      </c>
      <c r="AI12" s="23">
        <f t="shared" si="7"/>
        <v>18750</v>
      </c>
      <c r="AJ12" s="23">
        <f t="shared" si="7"/>
        <v>18750</v>
      </c>
      <c r="AK12" s="23"/>
      <c r="AL12" s="66">
        <f t="shared" si="2"/>
        <v>75000</v>
      </c>
      <c r="AN12" s="57">
        <f>AL12/4</f>
        <v>18750</v>
      </c>
      <c r="AO12" s="23">
        <f aca="true" t="shared" si="8" ref="AO12:AQ14">AN12</f>
        <v>18750</v>
      </c>
      <c r="AP12" s="23">
        <f t="shared" si="8"/>
        <v>18750</v>
      </c>
      <c r="AQ12" s="23">
        <f t="shared" si="8"/>
        <v>18750</v>
      </c>
      <c r="AR12" s="23"/>
      <c r="AS12" s="66">
        <f>SUM(AN12:AR12)</f>
        <v>75000</v>
      </c>
    </row>
    <row r="13" spans="2:45" ht="12.75">
      <c r="B13" s="112" t="s">
        <v>105</v>
      </c>
      <c r="D13" s="80">
        <v>500</v>
      </c>
      <c r="E13" s="50">
        <f>D13</f>
        <v>500</v>
      </c>
      <c r="F13" s="50">
        <f aca="true" t="shared" si="9" ref="F13:O13">E13</f>
        <v>500</v>
      </c>
      <c r="G13" s="50">
        <f t="shared" si="9"/>
        <v>500</v>
      </c>
      <c r="H13" s="50">
        <f t="shared" si="9"/>
        <v>500</v>
      </c>
      <c r="I13" s="50">
        <v>750</v>
      </c>
      <c r="J13" s="50">
        <v>750</v>
      </c>
      <c r="K13" s="50">
        <f t="shared" si="9"/>
        <v>750</v>
      </c>
      <c r="L13" s="50">
        <f t="shared" si="9"/>
        <v>750</v>
      </c>
      <c r="M13" s="50">
        <f t="shared" si="9"/>
        <v>750</v>
      </c>
      <c r="N13" s="50">
        <f t="shared" si="9"/>
        <v>750</v>
      </c>
      <c r="O13" s="50">
        <f t="shared" si="9"/>
        <v>750</v>
      </c>
      <c r="Q13" s="23">
        <f>SUM(D13:O13)</f>
        <v>7750</v>
      </c>
      <c r="S13" s="57">
        <f>750*3</f>
        <v>2250</v>
      </c>
      <c r="T13" s="57">
        <f>750*3</f>
        <v>2250</v>
      </c>
      <c r="U13" s="57">
        <f>750*3</f>
        <v>2250</v>
      </c>
      <c r="V13" s="57">
        <f>750*3</f>
        <v>2250</v>
      </c>
      <c r="W13" s="23"/>
      <c r="X13" s="41">
        <f>SUM(S13:W13)</f>
        <v>9000</v>
      </c>
      <c r="Z13" s="57">
        <v>2500</v>
      </c>
      <c r="AA13" s="57">
        <v>2500</v>
      </c>
      <c r="AB13" s="57">
        <v>2500</v>
      </c>
      <c r="AC13" s="57">
        <v>2500</v>
      </c>
      <c r="AD13" s="23"/>
      <c r="AE13" s="66">
        <f>SUM(Z13:AD13)</f>
        <v>10000</v>
      </c>
      <c r="AG13" s="57">
        <f>AE13/4</f>
        <v>2500</v>
      </c>
      <c r="AH13" s="57">
        <f>AG13</f>
        <v>2500</v>
      </c>
      <c r="AI13" s="57">
        <f>AH13</f>
        <v>2500</v>
      </c>
      <c r="AJ13" s="57">
        <f>AI13</f>
        <v>2500</v>
      </c>
      <c r="AK13" s="23"/>
      <c r="AL13" s="66">
        <f>SUM(AG13:AK13)</f>
        <v>10000</v>
      </c>
      <c r="AN13" s="57">
        <f>AL13/4</f>
        <v>2500</v>
      </c>
      <c r="AO13" s="57">
        <f>AN13</f>
        <v>2500</v>
      </c>
      <c r="AP13" s="57">
        <f>AO13</f>
        <v>2500</v>
      </c>
      <c r="AQ13" s="57">
        <f>AP13</f>
        <v>2500</v>
      </c>
      <c r="AR13" s="23"/>
      <c r="AS13" s="66">
        <f>SUM(AN13:AR13)</f>
        <v>10000</v>
      </c>
    </row>
    <row r="14" spans="2:45" ht="12.75">
      <c r="B14" s="112" t="s">
        <v>104</v>
      </c>
      <c r="D14" s="80">
        <v>1000</v>
      </c>
      <c r="E14" s="49">
        <f>D14</f>
        <v>1000</v>
      </c>
      <c r="F14" s="49">
        <f aca="true" t="shared" si="10" ref="F14:O14">E14</f>
        <v>1000</v>
      </c>
      <c r="G14" s="49">
        <f t="shared" si="10"/>
        <v>1000</v>
      </c>
      <c r="H14" s="49">
        <f t="shared" si="10"/>
        <v>1000</v>
      </c>
      <c r="I14" s="49">
        <v>2000</v>
      </c>
      <c r="J14" s="49">
        <f t="shared" si="10"/>
        <v>2000</v>
      </c>
      <c r="K14" s="49">
        <f t="shared" si="10"/>
        <v>2000</v>
      </c>
      <c r="L14" s="49">
        <f t="shared" si="10"/>
        <v>2000</v>
      </c>
      <c r="M14" s="49">
        <f t="shared" si="10"/>
        <v>2000</v>
      </c>
      <c r="N14" s="49">
        <f t="shared" si="10"/>
        <v>2000</v>
      </c>
      <c r="O14" s="49">
        <f t="shared" si="10"/>
        <v>2000</v>
      </c>
      <c r="Q14" s="23">
        <f>SUM(D14:O14)</f>
        <v>19000</v>
      </c>
      <c r="S14" s="57">
        <v>6000</v>
      </c>
      <c r="T14" s="57">
        <f t="shared" si="5"/>
        <v>6000</v>
      </c>
      <c r="U14" s="57">
        <f t="shared" si="5"/>
        <v>6000</v>
      </c>
      <c r="V14" s="57">
        <f t="shared" si="5"/>
        <v>6000</v>
      </c>
      <c r="W14" s="23"/>
      <c r="X14" s="41">
        <f>SUM(S14:W14)</f>
        <v>24000</v>
      </c>
      <c r="Z14" s="57">
        <f>X14/4</f>
        <v>6000</v>
      </c>
      <c r="AA14" s="57">
        <f t="shared" si="6"/>
        <v>6000</v>
      </c>
      <c r="AB14" s="57">
        <f t="shared" si="6"/>
        <v>6000</v>
      </c>
      <c r="AC14" s="57">
        <f t="shared" si="6"/>
        <v>6000</v>
      </c>
      <c r="AD14" s="23"/>
      <c r="AE14" s="66">
        <f>SUM(Z14:AD14)</f>
        <v>24000</v>
      </c>
      <c r="AG14" s="57">
        <f>AE14/4</f>
        <v>6000</v>
      </c>
      <c r="AH14" s="57">
        <f t="shared" si="7"/>
        <v>6000</v>
      </c>
      <c r="AI14" s="57">
        <f t="shared" si="7"/>
        <v>6000</v>
      </c>
      <c r="AJ14" s="57">
        <f t="shared" si="7"/>
        <v>6000</v>
      </c>
      <c r="AK14" s="23"/>
      <c r="AL14" s="66">
        <f t="shared" si="2"/>
        <v>24000</v>
      </c>
      <c r="AN14" s="57">
        <f>AL14/4</f>
        <v>6000</v>
      </c>
      <c r="AO14" s="57">
        <f t="shared" si="8"/>
        <v>6000</v>
      </c>
      <c r="AP14" s="57">
        <f t="shared" si="8"/>
        <v>6000</v>
      </c>
      <c r="AQ14" s="57">
        <f t="shared" si="8"/>
        <v>6000</v>
      </c>
      <c r="AR14" s="23"/>
      <c r="AS14" s="66">
        <f>SUM(AN14:AR14)</f>
        <v>24000</v>
      </c>
    </row>
    <row r="15" spans="2:45" ht="12.75">
      <c r="B15" s="112" t="s">
        <v>16</v>
      </c>
      <c r="D15" s="80">
        <v>3000</v>
      </c>
      <c r="E15" s="49">
        <f>D15</f>
        <v>3000</v>
      </c>
      <c r="F15" s="49">
        <f aca="true" t="shared" si="11" ref="F15:O16">E15</f>
        <v>3000</v>
      </c>
      <c r="G15" s="49">
        <f t="shared" si="11"/>
        <v>3000</v>
      </c>
      <c r="H15" s="49">
        <f t="shared" si="11"/>
        <v>3000</v>
      </c>
      <c r="I15" s="49">
        <v>6000</v>
      </c>
      <c r="J15" s="49">
        <f t="shared" si="11"/>
        <v>6000</v>
      </c>
      <c r="K15" s="49">
        <f t="shared" si="11"/>
        <v>6000</v>
      </c>
      <c r="L15" s="49">
        <f t="shared" si="11"/>
        <v>6000</v>
      </c>
      <c r="M15" s="49">
        <v>6000</v>
      </c>
      <c r="N15" s="49">
        <f t="shared" si="11"/>
        <v>6000</v>
      </c>
      <c r="O15" s="49">
        <f t="shared" si="11"/>
        <v>6000</v>
      </c>
      <c r="Q15" s="23">
        <f>SUM(D15:O15)</f>
        <v>57000</v>
      </c>
      <c r="S15" s="57">
        <v>18000</v>
      </c>
      <c r="T15" s="57">
        <f>S15</f>
        <v>18000</v>
      </c>
      <c r="U15" s="57">
        <f>T15</f>
        <v>18000</v>
      </c>
      <c r="V15" s="57">
        <f>U15</f>
        <v>18000</v>
      </c>
      <c r="W15" s="23"/>
      <c r="X15" s="41">
        <f>SUM(S15:W15)</f>
        <v>72000</v>
      </c>
      <c r="Z15" s="57">
        <f>X15/4</f>
        <v>18000</v>
      </c>
      <c r="AA15" s="23">
        <f>Z15</f>
        <v>18000</v>
      </c>
      <c r="AB15" s="23">
        <f>AA15</f>
        <v>18000</v>
      </c>
      <c r="AC15" s="23">
        <f>AB15</f>
        <v>18000</v>
      </c>
      <c r="AD15" s="23"/>
      <c r="AE15" s="66">
        <f>SUM(Z15:AD15)</f>
        <v>72000</v>
      </c>
      <c r="AG15" s="57">
        <f>AE15/4</f>
        <v>18000</v>
      </c>
      <c r="AH15" s="23">
        <f>AG15</f>
        <v>18000</v>
      </c>
      <c r="AI15" s="23">
        <f>AH15</f>
        <v>18000</v>
      </c>
      <c r="AJ15" s="23">
        <f>AI15</f>
        <v>18000</v>
      </c>
      <c r="AK15" s="23"/>
      <c r="AL15" s="66">
        <f>SUM(AG15:AK15)</f>
        <v>72000</v>
      </c>
      <c r="AN15" s="57">
        <f>AL15/4</f>
        <v>18000</v>
      </c>
      <c r="AO15" s="23">
        <f>AN15</f>
        <v>18000</v>
      </c>
      <c r="AP15" s="23">
        <f>AO15</f>
        <v>18000</v>
      </c>
      <c r="AQ15" s="23">
        <f>AP15</f>
        <v>18000</v>
      </c>
      <c r="AR15" s="23"/>
      <c r="AS15" s="66">
        <f>SUM(AN15:AR15)</f>
        <v>72000</v>
      </c>
    </row>
    <row r="16" spans="2:45" ht="12.75">
      <c r="B16" s="112" t="s">
        <v>140</v>
      </c>
      <c r="D16" s="80">
        <v>1000</v>
      </c>
      <c r="E16" s="50">
        <f>D16</f>
        <v>1000</v>
      </c>
      <c r="F16" s="50">
        <f t="shared" si="11"/>
        <v>1000</v>
      </c>
      <c r="G16" s="50">
        <f t="shared" si="11"/>
        <v>1000</v>
      </c>
      <c r="H16" s="50">
        <f t="shared" si="11"/>
        <v>1000</v>
      </c>
      <c r="I16" s="50">
        <v>5000</v>
      </c>
      <c r="J16" s="50">
        <f t="shared" si="11"/>
        <v>5000</v>
      </c>
      <c r="K16" s="50">
        <f t="shared" si="11"/>
        <v>5000</v>
      </c>
      <c r="L16" s="50">
        <f t="shared" si="11"/>
        <v>5000</v>
      </c>
      <c r="M16" s="50">
        <v>5000</v>
      </c>
      <c r="N16" s="50">
        <f t="shared" si="11"/>
        <v>5000</v>
      </c>
      <c r="O16" s="50">
        <f t="shared" si="11"/>
        <v>5000</v>
      </c>
      <c r="Q16" s="23">
        <f>SUM(D16:O16)</f>
        <v>40000</v>
      </c>
      <c r="S16" s="57">
        <v>15500</v>
      </c>
      <c r="T16" s="57">
        <v>15500</v>
      </c>
      <c r="U16" s="57">
        <v>15500</v>
      </c>
      <c r="V16" s="57">
        <v>15500</v>
      </c>
      <c r="W16" s="23"/>
      <c r="X16" s="41">
        <f>SUM(S16:W16)</f>
        <v>62000</v>
      </c>
      <c r="Z16" s="57">
        <v>16000</v>
      </c>
      <c r="AA16" s="57">
        <v>16000</v>
      </c>
      <c r="AB16" s="57">
        <v>16000</v>
      </c>
      <c r="AC16" s="57">
        <v>16000</v>
      </c>
      <c r="AD16" s="23"/>
      <c r="AE16" s="66">
        <f>SUM(Z16:AD16)</f>
        <v>64000</v>
      </c>
      <c r="AG16" s="57">
        <v>16500</v>
      </c>
      <c r="AH16" s="57">
        <v>16500</v>
      </c>
      <c r="AI16" s="57">
        <v>16500</v>
      </c>
      <c r="AJ16" s="57">
        <v>16500</v>
      </c>
      <c r="AK16" s="23"/>
      <c r="AL16" s="66">
        <f>SUM(AG16:AK16)</f>
        <v>66000</v>
      </c>
      <c r="AN16" s="57">
        <v>17000</v>
      </c>
      <c r="AO16" s="57">
        <v>17000</v>
      </c>
      <c r="AP16" s="57">
        <v>17000</v>
      </c>
      <c r="AQ16" s="57">
        <v>17000</v>
      </c>
      <c r="AR16" s="23"/>
      <c r="AS16" s="66">
        <f>SUM(AN16:AR16)</f>
        <v>68000</v>
      </c>
    </row>
    <row r="17" spans="2:45" s="30" customFormat="1" ht="12.75">
      <c r="B17" s="113" t="s">
        <v>106</v>
      </c>
      <c r="D17" s="52">
        <f>SUM(D12:D16)</f>
        <v>11750</v>
      </c>
      <c r="E17" s="52">
        <f aca="true" t="shared" si="12" ref="E17:O17">SUM(E12:E16)</f>
        <v>11750</v>
      </c>
      <c r="F17" s="52">
        <f t="shared" si="12"/>
        <v>11750</v>
      </c>
      <c r="G17" s="52">
        <f t="shared" si="12"/>
        <v>11750</v>
      </c>
      <c r="H17" s="52">
        <f t="shared" si="12"/>
        <v>11750</v>
      </c>
      <c r="I17" s="52">
        <f t="shared" si="12"/>
        <v>20000</v>
      </c>
      <c r="J17" s="52">
        <f t="shared" si="12"/>
        <v>20000</v>
      </c>
      <c r="K17" s="52">
        <f t="shared" si="12"/>
        <v>20000</v>
      </c>
      <c r="L17" s="52">
        <f t="shared" si="12"/>
        <v>20000</v>
      </c>
      <c r="M17" s="52">
        <f t="shared" si="12"/>
        <v>20000</v>
      </c>
      <c r="N17" s="52">
        <f t="shared" si="12"/>
        <v>20000</v>
      </c>
      <c r="O17" s="52">
        <f t="shared" si="12"/>
        <v>20000</v>
      </c>
      <c r="Q17" s="44">
        <f>SUM(Q12:Q16)</f>
        <v>198750</v>
      </c>
      <c r="S17" s="115">
        <f>SUM(S12:S16)</f>
        <v>60500</v>
      </c>
      <c r="T17" s="115">
        <f>SUM(T12:T16)</f>
        <v>60500</v>
      </c>
      <c r="U17" s="115">
        <f>SUM(U12:U16)</f>
        <v>60500</v>
      </c>
      <c r="V17" s="115">
        <f>SUM(V12:V16)</f>
        <v>60500</v>
      </c>
      <c r="W17" s="60"/>
      <c r="X17" s="65">
        <f>SUM(X12:X16)</f>
        <v>242000</v>
      </c>
      <c r="Z17" s="115">
        <f>SUM(Z12:Z16)</f>
        <v>61250</v>
      </c>
      <c r="AA17" s="115">
        <f>SUM(AA12:AA16)</f>
        <v>61250</v>
      </c>
      <c r="AB17" s="115">
        <f>SUM(AB12:AB16)</f>
        <v>61250</v>
      </c>
      <c r="AC17" s="115">
        <f>SUM(AC12:AC16)</f>
        <v>61250</v>
      </c>
      <c r="AE17" s="68">
        <f>SUM(AE12:AE16)</f>
        <v>245000</v>
      </c>
      <c r="AG17" s="115">
        <f>SUM(AG12:AG16)</f>
        <v>61750</v>
      </c>
      <c r="AH17" s="115">
        <f>SUM(AH12:AH16)</f>
        <v>61750</v>
      </c>
      <c r="AI17" s="115">
        <f>SUM(AI12:AI16)</f>
        <v>61750</v>
      </c>
      <c r="AJ17" s="115">
        <f>SUM(AJ12:AJ16)</f>
        <v>61750</v>
      </c>
      <c r="AL17" s="68">
        <f>SUM(AL12:AL16)</f>
        <v>247000</v>
      </c>
      <c r="AN17" s="115">
        <f>SUM(AN12:AN16)</f>
        <v>62250</v>
      </c>
      <c r="AO17" s="115">
        <f>SUM(AO12:AO16)</f>
        <v>62250</v>
      </c>
      <c r="AP17" s="115">
        <f>SUM(AP12:AP16)</f>
        <v>62250</v>
      </c>
      <c r="AQ17" s="115">
        <f>SUM(AQ12:AQ16)</f>
        <v>62250</v>
      </c>
      <c r="AS17" s="68">
        <f>SUM(AS12:AS16)</f>
        <v>249000</v>
      </c>
    </row>
    <row r="18" spans="2:45" s="30" customFormat="1" ht="12.75">
      <c r="B18" s="113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Q18" s="34"/>
      <c r="S18" s="60"/>
      <c r="T18" s="60"/>
      <c r="U18" s="60"/>
      <c r="V18" s="60"/>
      <c r="W18" s="60"/>
      <c r="X18" s="80"/>
      <c r="Z18" s="60"/>
      <c r="AA18" s="60"/>
      <c r="AB18" s="60"/>
      <c r="AC18" s="60"/>
      <c r="AE18" s="104"/>
      <c r="AG18" s="60"/>
      <c r="AH18" s="60"/>
      <c r="AI18" s="60"/>
      <c r="AJ18" s="60"/>
      <c r="AL18" s="104"/>
      <c r="AN18" s="60"/>
      <c r="AO18" s="60"/>
      <c r="AP18" s="60"/>
      <c r="AQ18" s="60"/>
      <c r="AS18" s="104"/>
    </row>
    <row r="19" spans="2:45" ht="13.5" customHeight="1">
      <c r="B19" s="8" t="s">
        <v>111</v>
      </c>
      <c r="I19" s="23"/>
      <c r="J19" s="23"/>
      <c r="Q19" s="23"/>
      <c r="X19" s="41"/>
      <c r="AE19" s="66"/>
      <c r="AL19" s="66"/>
      <c r="AS19" s="66"/>
    </row>
    <row r="20" spans="2:45" ht="12.75">
      <c r="B20" s="114" t="s">
        <v>93</v>
      </c>
      <c r="D20" s="41">
        <f>Headcount!F19-6250+833.5</f>
        <v>54166.833333333336</v>
      </c>
      <c r="E20" s="41">
        <f>Headcount!G19-6250</f>
        <v>53333.333333333336</v>
      </c>
      <c r="F20" s="41">
        <f>Headcount!H19-6250</f>
        <v>53333.333333333336</v>
      </c>
      <c r="G20" s="41">
        <f>Headcount!I19-6250</f>
        <v>53333.333333333336</v>
      </c>
      <c r="H20" s="41">
        <f>Headcount!J19-6250</f>
        <v>53333.333333333336</v>
      </c>
      <c r="I20" s="41">
        <f>Headcount!K19</f>
        <v>101250</v>
      </c>
      <c r="J20" s="41">
        <f>Headcount!L19</f>
        <v>134584.33333333334</v>
      </c>
      <c r="K20" s="41">
        <f>Headcount!M19</f>
        <v>142917.6666666667</v>
      </c>
      <c r="L20" s="41">
        <f>Headcount!N19</f>
        <v>142917.6666666667</v>
      </c>
      <c r="M20" s="41">
        <f>Headcount!O19</f>
        <v>172084.33333333334</v>
      </c>
      <c r="N20" s="41">
        <f>Headcount!P19</f>
        <v>197501</v>
      </c>
      <c r="O20" s="41">
        <f>Headcount!Q19</f>
        <v>197501</v>
      </c>
      <c r="P20" s="41" t="e">
        <f>Headcount!R19-'Income Statement'!#REF!</f>
        <v>#REF!</v>
      </c>
      <c r="Q20" s="41">
        <f>SUM(D20:O20)</f>
        <v>1356256.166666667</v>
      </c>
      <c r="S20" s="41">
        <f>Headcount!S19</f>
        <v>741250</v>
      </c>
      <c r="T20" s="41">
        <f>Headcount!T19</f>
        <v>718750</v>
      </c>
      <c r="U20" s="41">
        <f>Headcount!U19</f>
        <v>707500</v>
      </c>
      <c r="V20" s="41">
        <f>Headcount!V19</f>
        <v>707500</v>
      </c>
      <c r="W20" s="41"/>
      <c r="X20" s="41">
        <f>SUM(S20:W20)</f>
        <v>2875000</v>
      </c>
      <c r="Z20" s="41">
        <f>Headcount!X19</f>
        <v>832500</v>
      </c>
      <c r="AA20" s="41">
        <f>Headcount!Y19</f>
        <v>832500</v>
      </c>
      <c r="AB20" s="41">
        <f>Headcount!Z19</f>
        <v>832501</v>
      </c>
      <c r="AC20" s="41">
        <f>Headcount!AA19</f>
        <v>832501</v>
      </c>
      <c r="AD20" s="41"/>
      <c r="AE20" s="66">
        <f>SUM(Z20:AD20)</f>
        <v>3330002</v>
      </c>
      <c r="AG20" s="41">
        <f>Headcount!AC19</f>
        <v>955001</v>
      </c>
      <c r="AH20" s="41">
        <f>Headcount!AD19</f>
        <v>955001</v>
      </c>
      <c r="AI20" s="41">
        <f>Headcount!AE19</f>
        <v>955001</v>
      </c>
      <c r="AJ20" s="41">
        <f>Headcount!AF19</f>
        <v>955001</v>
      </c>
      <c r="AK20" s="41"/>
      <c r="AL20" s="66">
        <f>SUM(AG20:AK20)</f>
        <v>3820004</v>
      </c>
      <c r="AN20" s="41">
        <f>Headcount!AH19</f>
        <v>1040001</v>
      </c>
      <c r="AO20" s="41">
        <f>Headcount!AI19</f>
        <v>1040001</v>
      </c>
      <c r="AP20" s="41">
        <f>Headcount!AJ19</f>
        <v>1040001</v>
      </c>
      <c r="AQ20" s="41">
        <f>Headcount!AK19</f>
        <v>1040001</v>
      </c>
      <c r="AR20" s="41"/>
      <c r="AS20" s="66">
        <f>SUM(AN20:AR20)</f>
        <v>4160004</v>
      </c>
    </row>
    <row r="21" spans="2:45" ht="12.75">
      <c r="B21" s="10" t="s">
        <v>112</v>
      </c>
      <c r="D21" s="41">
        <f>Headcount!F20</f>
        <v>8937.5</v>
      </c>
      <c r="E21" s="41">
        <f>Headcount!G20</f>
        <v>8937.5</v>
      </c>
      <c r="F21" s="41">
        <f>Headcount!H20</f>
        <v>8937.5</v>
      </c>
      <c r="G21" s="41">
        <f>Headcount!I20</f>
        <v>8937.5</v>
      </c>
      <c r="H21" s="41">
        <f>Headcount!J20</f>
        <v>8937.5</v>
      </c>
      <c r="I21" s="41">
        <f>Headcount!K20</f>
        <v>15187.5</v>
      </c>
      <c r="J21" s="41">
        <f>Headcount!L20</f>
        <v>20187.65</v>
      </c>
      <c r="K21" s="41">
        <f>Headcount!M20</f>
        <v>21437.65</v>
      </c>
      <c r="L21" s="41">
        <f>Headcount!N20</f>
        <v>21437.65</v>
      </c>
      <c r="M21" s="41">
        <f>Headcount!O20</f>
        <v>25812.65</v>
      </c>
      <c r="N21" s="41">
        <f>Headcount!P20</f>
        <v>29625.149999999998</v>
      </c>
      <c r="O21" s="41">
        <f>Headcount!Q20</f>
        <v>29625.149999999998</v>
      </c>
      <c r="Q21" s="41">
        <f>SUM(D21:O21)</f>
        <v>208000.89999999997</v>
      </c>
      <c r="S21" s="41">
        <f>Headcount!S20</f>
        <v>111187.5</v>
      </c>
      <c r="T21" s="41">
        <f>Headcount!T20</f>
        <v>107812.5</v>
      </c>
      <c r="U21" s="41">
        <f>Headcount!U20</f>
        <v>106125</v>
      </c>
      <c r="V21" s="41">
        <f>Headcount!V20</f>
        <v>106125</v>
      </c>
      <c r="W21" s="41"/>
      <c r="X21" s="41">
        <f>SUM(S21:W21)</f>
        <v>431250</v>
      </c>
      <c r="Z21" s="41">
        <f>Headcount!X20</f>
        <v>124875</v>
      </c>
      <c r="AA21" s="41">
        <f>Headcount!Y20</f>
        <v>124875</v>
      </c>
      <c r="AB21" s="41">
        <f>Headcount!Z20</f>
        <v>124875.15</v>
      </c>
      <c r="AC21" s="41">
        <f>Headcount!AA20</f>
        <v>124875.15</v>
      </c>
      <c r="AD21" s="41"/>
      <c r="AE21" s="66">
        <f>SUM(Z21:AD21)</f>
        <v>499500.30000000005</v>
      </c>
      <c r="AG21" s="41">
        <f>Headcount!AC20</f>
        <v>143250.15</v>
      </c>
      <c r="AH21" s="41">
        <f>Headcount!AD20</f>
        <v>143250.15</v>
      </c>
      <c r="AI21" s="41">
        <f>Headcount!AE20</f>
        <v>143250.15</v>
      </c>
      <c r="AJ21" s="41">
        <f>Headcount!AF20</f>
        <v>143250.15</v>
      </c>
      <c r="AK21" s="41"/>
      <c r="AL21" s="66">
        <f>SUM(AG21:AK21)</f>
        <v>573000.6</v>
      </c>
      <c r="AN21" s="41">
        <f>Headcount!AH20</f>
        <v>156000.15</v>
      </c>
      <c r="AO21" s="41">
        <f>Headcount!AI20</f>
        <v>156000.15</v>
      </c>
      <c r="AP21" s="41">
        <f>Headcount!AJ20</f>
        <v>156000.15</v>
      </c>
      <c r="AQ21" s="41">
        <f>Headcount!AK20</f>
        <v>156000.15</v>
      </c>
      <c r="AR21" s="41"/>
      <c r="AS21" s="66">
        <f>SUM(AN21:AR21)</f>
        <v>624000.6</v>
      </c>
    </row>
    <row r="22" spans="2:45" ht="12.75">
      <c r="B22" s="8" t="s">
        <v>98</v>
      </c>
      <c r="D22" s="65">
        <f>SUM(D20:D21)</f>
        <v>63104.333333333336</v>
      </c>
      <c r="E22" s="65">
        <f aca="true" t="shared" si="13" ref="E22:O22">SUM(E20:E21)</f>
        <v>62270.833333333336</v>
      </c>
      <c r="F22" s="65">
        <f t="shared" si="13"/>
        <v>62270.833333333336</v>
      </c>
      <c r="G22" s="65">
        <f t="shared" si="13"/>
        <v>62270.833333333336</v>
      </c>
      <c r="H22" s="65">
        <f t="shared" si="13"/>
        <v>62270.833333333336</v>
      </c>
      <c r="I22" s="65">
        <f t="shared" si="13"/>
        <v>116437.5</v>
      </c>
      <c r="J22" s="65">
        <f t="shared" si="13"/>
        <v>154771.98333333334</v>
      </c>
      <c r="K22" s="65">
        <f t="shared" si="13"/>
        <v>164355.31666666668</v>
      </c>
      <c r="L22" s="65">
        <f t="shared" si="13"/>
        <v>164355.31666666668</v>
      </c>
      <c r="M22" s="65">
        <f t="shared" si="13"/>
        <v>197896.98333333334</v>
      </c>
      <c r="N22" s="65">
        <f t="shared" si="13"/>
        <v>227126.15</v>
      </c>
      <c r="O22" s="65">
        <f t="shared" si="13"/>
        <v>227126.15</v>
      </c>
      <c r="Q22" s="44">
        <f>SUM(Q20:Q21)</f>
        <v>1564257.066666667</v>
      </c>
      <c r="S22" s="65">
        <f>SUM(S20:S21)</f>
        <v>852437.5</v>
      </c>
      <c r="T22" s="65">
        <f>SUM(T20:T21)</f>
        <v>826562.5</v>
      </c>
      <c r="U22" s="65">
        <f>SUM(U20:U21)</f>
        <v>813625</v>
      </c>
      <c r="V22" s="65">
        <f>SUM(V20:V21)</f>
        <v>813625</v>
      </c>
      <c r="W22" s="41"/>
      <c r="X22" s="65">
        <f>SUM(S22:W22)</f>
        <v>3306250</v>
      </c>
      <c r="Z22" s="65">
        <f>SUM(Z20:Z21)</f>
        <v>957375</v>
      </c>
      <c r="AA22" s="65">
        <f>SUM(AA20:AA21)</f>
        <v>957375</v>
      </c>
      <c r="AB22" s="65">
        <f>SUM(AB20:AB21)</f>
        <v>957376.15</v>
      </c>
      <c r="AC22" s="65">
        <f>SUM(AC20:AC21)</f>
        <v>957376.15</v>
      </c>
      <c r="AD22" s="41"/>
      <c r="AE22" s="68">
        <f>SUM(AE20:AE21)</f>
        <v>3829502.3</v>
      </c>
      <c r="AG22" s="65">
        <f>SUM(AG20:AG21)</f>
        <v>1098251.15</v>
      </c>
      <c r="AH22" s="65">
        <f>SUM(AH20:AH21)</f>
        <v>1098251.15</v>
      </c>
      <c r="AI22" s="65">
        <f>SUM(AI20:AI21)</f>
        <v>1098251.15</v>
      </c>
      <c r="AJ22" s="65">
        <f>SUM(AJ20:AJ21)</f>
        <v>1098251.15</v>
      </c>
      <c r="AK22" s="41"/>
      <c r="AL22" s="68">
        <f>SUM(AL20:AL21)</f>
        <v>4393004.6</v>
      </c>
      <c r="AN22" s="65">
        <f>SUM(AN20:AN21)</f>
        <v>1196001.15</v>
      </c>
      <c r="AO22" s="65">
        <f>SUM(AO20:AO21)</f>
        <v>1196001.15</v>
      </c>
      <c r="AP22" s="65">
        <f>SUM(AP20:AP21)</f>
        <v>1196001.15</v>
      </c>
      <c r="AQ22" s="65">
        <f>SUM(AQ20:AQ21)</f>
        <v>1196001.15</v>
      </c>
      <c r="AR22" s="41"/>
      <c r="AS22" s="68">
        <f>SUM(AS20:AS21)</f>
        <v>4784004.6</v>
      </c>
    </row>
    <row r="23" spans="9:10" ht="12.75">
      <c r="I23" s="23"/>
      <c r="J23" s="23"/>
    </row>
    <row r="24" spans="2:45" ht="12.75">
      <c r="B24" s="8" t="s">
        <v>108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Q24" s="34"/>
      <c r="S24" s="60"/>
      <c r="T24" s="60"/>
      <c r="U24" s="60"/>
      <c r="V24" s="60"/>
      <c r="W24" s="60"/>
      <c r="X24" s="80"/>
      <c r="Z24" s="60"/>
      <c r="AA24" s="60"/>
      <c r="AB24" s="60"/>
      <c r="AC24" s="60"/>
      <c r="AE24" s="104"/>
      <c r="AG24" s="60"/>
      <c r="AH24" s="60"/>
      <c r="AI24" s="60"/>
      <c r="AJ24" s="60"/>
      <c r="AL24" s="104"/>
      <c r="AN24" s="60"/>
      <c r="AO24" s="60"/>
      <c r="AP24" s="60"/>
      <c r="AQ24" s="60"/>
      <c r="AS24" s="104"/>
    </row>
    <row r="25" spans="2:45" ht="12.75">
      <c r="B25" s="10" t="s">
        <v>100</v>
      </c>
      <c r="D25" s="60">
        <v>3000</v>
      </c>
      <c r="E25" s="60">
        <v>3000</v>
      </c>
      <c r="F25" s="60">
        <v>3000</v>
      </c>
      <c r="G25" s="60">
        <v>3000</v>
      </c>
      <c r="H25" s="60">
        <v>3000</v>
      </c>
      <c r="I25" s="60">
        <v>10000</v>
      </c>
      <c r="J25" s="60">
        <v>1000</v>
      </c>
      <c r="K25" s="60">
        <v>1000</v>
      </c>
      <c r="L25" s="60">
        <v>1000</v>
      </c>
      <c r="M25" s="60">
        <v>1000</v>
      </c>
      <c r="N25" s="60">
        <v>1000</v>
      </c>
      <c r="O25" s="60">
        <v>1000</v>
      </c>
      <c r="Q25" s="34">
        <f>SUM(D25:P25)</f>
        <v>31000</v>
      </c>
      <c r="S25" s="60">
        <v>3000</v>
      </c>
      <c r="T25" s="60">
        <v>3000</v>
      </c>
      <c r="U25" s="60">
        <f>T25</f>
        <v>3000</v>
      </c>
      <c r="V25" s="60">
        <f>U25</f>
        <v>3000</v>
      </c>
      <c r="W25" s="60"/>
      <c r="X25" s="80">
        <f>SUM(S25:W25)</f>
        <v>12000</v>
      </c>
      <c r="Z25" s="60">
        <f>X25/4</f>
        <v>3000</v>
      </c>
      <c r="AA25" s="60">
        <f>Z25</f>
        <v>3000</v>
      </c>
      <c r="AB25" s="60">
        <f>AA25</f>
        <v>3000</v>
      </c>
      <c r="AC25" s="60">
        <f>AB25</f>
        <v>3000</v>
      </c>
      <c r="AE25" s="104">
        <f>SUM(Z25:AD25)</f>
        <v>12000</v>
      </c>
      <c r="AG25" s="60">
        <f>AE25/4</f>
        <v>3000</v>
      </c>
      <c r="AH25" s="60">
        <f aca="true" t="shared" si="14" ref="AH25:AJ27">AG25</f>
        <v>3000</v>
      </c>
      <c r="AI25" s="60">
        <f t="shared" si="14"/>
        <v>3000</v>
      </c>
      <c r="AJ25" s="60">
        <f t="shared" si="14"/>
        <v>3000</v>
      </c>
      <c r="AL25" s="104">
        <f>SUM(AG25:AK25)</f>
        <v>12000</v>
      </c>
      <c r="AN25" s="60">
        <f>AL25/4</f>
        <v>3000</v>
      </c>
      <c r="AO25" s="60">
        <f aca="true" t="shared" si="15" ref="AO25:AQ27">AN25</f>
        <v>3000</v>
      </c>
      <c r="AP25" s="60">
        <f t="shared" si="15"/>
        <v>3000</v>
      </c>
      <c r="AQ25" s="60">
        <f t="shared" si="15"/>
        <v>3000</v>
      </c>
      <c r="AS25" s="104">
        <f>SUM(AN25:AR25)</f>
        <v>12000</v>
      </c>
    </row>
    <row r="26" spans="2:45" ht="12.75">
      <c r="B26" s="10" t="s">
        <v>141</v>
      </c>
      <c r="D26" s="60">
        <v>0</v>
      </c>
      <c r="E26" s="60">
        <f>D26</f>
        <v>0</v>
      </c>
      <c r="F26" s="60">
        <f aca="true" t="shared" si="16" ref="F26:O26">E26</f>
        <v>0</v>
      </c>
      <c r="G26" s="60">
        <f t="shared" si="16"/>
        <v>0</v>
      </c>
      <c r="H26" s="60">
        <f t="shared" si="16"/>
        <v>0</v>
      </c>
      <c r="I26" s="60">
        <f t="shared" si="16"/>
        <v>0</v>
      </c>
      <c r="J26" s="60">
        <f t="shared" si="16"/>
        <v>0</v>
      </c>
      <c r="K26" s="60">
        <f t="shared" si="16"/>
        <v>0</v>
      </c>
      <c r="L26" s="60">
        <f t="shared" si="16"/>
        <v>0</v>
      </c>
      <c r="M26" s="60">
        <f t="shared" si="16"/>
        <v>0</v>
      </c>
      <c r="N26" s="60">
        <f t="shared" si="16"/>
        <v>0</v>
      </c>
      <c r="O26" s="60">
        <f t="shared" si="16"/>
        <v>0</v>
      </c>
      <c r="Q26" s="34">
        <f>SUM(D26:P26)</f>
        <v>0</v>
      </c>
      <c r="S26" s="60">
        <v>15000</v>
      </c>
      <c r="T26" s="60">
        <v>0</v>
      </c>
      <c r="U26" s="60">
        <v>0</v>
      </c>
      <c r="V26" s="60">
        <f>U26</f>
        <v>0</v>
      </c>
      <c r="W26" s="60"/>
      <c r="X26" s="80">
        <f>SUM(S26:W26)</f>
        <v>15000</v>
      </c>
      <c r="Z26" s="60">
        <v>15000</v>
      </c>
      <c r="AA26" s="60">
        <v>0</v>
      </c>
      <c r="AB26" s="60">
        <f aca="true" t="shared" si="17" ref="AA26:AC27">AA26</f>
        <v>0</v>
      </c>
      <c r="AC26" s="60">
        <f t="shared" si="17"/>
        <v>0</v>
      </c>
      <c r="AE26" s="104">
        <f>SUM(Z26:AD26)</f>
        <v>15000</v>
      </c>
      <c r="AG26" s="60">
        <v>15000</v>
      </c>
      <c r="AH26" s="60">
        <v>0</v>
      </c>
      <c r="AI26" s="60">
        <v>0</v>
      </c>
      <c r="AJ26" s="60">
        <v>0</v>
      </c>
      <c r="AL26" s="104">
        <f>SUM(AG26:AK26)</f>
        <v>15000</v>
      </c>
      <c r="AN26" s="60">
        <v>15000</v>
      </c>
      <c r="AO26" s="60">
        <v>0</v>
      </c>
      <c r="AP26" s="60">
        <v>0</v>
      </c>
      <c r="AQ26" s="60">
        <v>0</v>
      </c>
      <c r="AS26" s="104">
        <f>SUM(AN26:AR26)</f>
        <v>15000</v>
      </c>
    </row>
    <row r="27" spans="2:45" ht="12.75">
      <c r="B27" s="10" t="s">
        <v>109</v>
      </c>
      <c r="D27" s="60">
        <v>0</v>
      </c>
      <c r="E27" s="60">
        <f>D27</f>
        <v>0</v>
      </c>
      <c r="F27" s="60">
        <f aca="true" t="shared" si="18" ref="F27:O27">E27</f>
        <v>0</v>
      </c>
      <c r="G27" s="60">
        <f t="shared" si="18"/>
        <v>0</v>
      </c>
      <c r="H27" s="60">
        <f t="shared" si="18"/>
        <v>0</v>
      </c>
      <c r="I27" s="60">
        <f t="shared" si="18"/>
        <v>0</v>
      </c>
      <c r="J27" s="60">
        <f t="shared" si="18"/>
        <v>0</v>
      </c>
      <c r="K27" s="60">
        <f t="shared" si="18"/>
        <v>0</v>
      </c>
      <c r="L27" s="60">
        <f t="shared" si="18"/>
        <v>0</v>
      </c>
      <c r="M27" s="60">
        <f t="shared" si="18"/>
        <v>0</v>
      </c>
      <c r="N27" s="60">
        <f t="shared" si="18"/>
        <v>0</v>
      </c>
      <c r="O27" s="60">
        <f t="shared" si="18"/>
        <v>0</v>
      </c>
      <c r="Q27" s="34">
        <f>SUM(D27:P27)</f>
        <v>0</v>
      </c>
      <c r="S27" s="60">
        <f>Q27/4</f>
        <v>0</v>
      </c>
      <c r="T27" s="60">
        <f>S27</f>
        <v>0</v>
      </c>
      <c r="U27" s="60">
        <f>T27</f>
        <v>0</v>
      </c>
      <c r="V27" s="60">
        <f>U27</f>
        <v>0</v>
      </c>
      <c r="W27" s="60"/>
      <c r="X27" s="80">
        <f>SUM(S27:W27)</f>
        <v>0</v>
      </c>
      <c r="Z27" s="60">
        <f>X27/4</f>
        <v>0</v>
      </c>
      <c r="AA27" s="60">
        <f t="shared" si="17"/>
        <v>0</v>
      </c>
      <c r="AB27" s="60">
        <f t="shared" si="17"/>
        <v>0</v>
      </c>
      <c r="AC27" s="60">
        <f t="shared" si="17"/>
        <v>0</v>
      </c>
      <c r="AE27" s="104">
        <f>SUM(Z27:AD27)</f>
        <v>0</v>
      </c>
      <c r="AG27" s="60">
        <f>AE27/4</f>
        <v>0</v>
      </c>
      <c r="AH27" s="60">
        <f t="shared" si="14"/>
        <v>0</v>
      </c>
      <c r="AI27" s="60">
        <f t="shared" si="14"/>
        <v>0</v>
      </c>
      <c r="AJ27" s="60">
        <f t="shared" si="14"/>
        <v>0</v>
      </c>
      <c r="AL27" s="104">
        <f>SUM(AG27:AK27)</f>
        <v>0</v>
      </c>
      <c r="AN27" s="60">
        <f>AL27/4</f>
        <v>0</v>
      </c>
      <c r="AO27" s="60">
        <f t="shared" si="15"/>
        <v>0</v>
      </c>
      <c r="AP27" s="60">
        <f t="shared" si="15"/>
        <v>0</v>
      </c>
      <c r="AQ27" s="60">
        <f t="shared" si="15"/>
        <v>0</v>
      </c>
      <c r="AS27" s="104">
        <f>SUM(AN27:AR27)</f>
        <v>0</v>
      </c>
    </row>
    <row r="28" spans="2:45" ht="12.75">
      <c r="B28" s="8" t="s">
        <v>110</v>
      </c>
      <c r="D28" s="52">
        <f>SUM(D25:D27)</f>
        <v>3000</v>
      </c>
      <c r="E28" s="52">
        <f aca="true" t="shared" si="19" ref="E28:O28">SUM(E25:E27)</f>
        <v>3000</v>
      </c>
      <c r="F28" s="52">
        <f t="shared" si="19"/>
        <v>3000</v>
      </c>
      <c r="G28" s="52">
        <f t="shared" si="19"/>
        <v>3000</v>
      </c>
      <c r="H28" s="52">
        <f t="shared" si="19"/>
        <v>3000</v>
      </c>
      <c r="I28" s="52">
        <f t="shared" si="19"/>
        <v>10000</v>
      </c>
      <c r="J28" s="52">
        <f t="shared" si="19"/>
        <v>1000</v>
      </c>
      <c r="K28" s="52">
        <f t="shared" si="19"/>
        <v>1000</v>
      </c>
      <c r="L28" s="52">
        <f t="shared" si="19"/>
        <v>1000</v>
      </c>
      <c r="M28" s="52">
        <f t="shared" si="19"/>
        <v>1000</v>
      </c>
      <c r="N28" s="52">
        <f t="shared" si="19"/>
        <v>1000</v>
      </c>
      <c r="O28" s="52">
        <f t="shared" si="19"/>
        <v>1000</v>
      </c>
      <c r="Q28" s="44">
        <f>SUM(Q25:Q27)</f>
        <v>31000</v>
      </c>
      <c r="S28" s="52">
        <f>SUM(S25:S27)</f>
        <v>18000</v>
      </c>
      <c r="T28" s="52">
        <f>SUM(T25:T27)</f>
        <v>3000</v>
      </c>
      <c r="U28" s="52">
        <f>SUM(U25:U27)</f>
        <v>3000</v>
      </c>
      <c r="V28" s="52">
        <f>SUM(V25:V27)</f>
        <v>3000</v>
      </c>
      <c r="W28" s="60"/>
      <c r="X28" s="65">
        <f>SUM(S28:W28)</f>
        <v>27000</v>
      </c>
      <c r="Z28" s="52">
        <f>SUM(Z25:Z27)</f>
        <v>18000</v>
      </c>
      <c r="AA28" s="52">
        <f>SUM(AA25:AA27)</f>
        <v>3000</v>
      </c>
      <c r="AB28" s="52">
        <f>SUM(AB25:AB27)</f>
        <v>3000</v>
      </c>
      <c r="AC28" s="52">
        <f>SUM(AC25:AC27)</f>
        <v>3000</v>
      </c>
      <c r="AE28" s="68">
        <f>SUM(AE25:AE27)</f>
        <v>27000</v>
      </c>
      <c r="AG28" s="52">
        <f>SUM(AG25:AG27)</f>
        <v>18000</v>
      </c>
      <c r="AH28" s="52">
        <f>SUM(AH25:AH27)</f>
        <v>3000</v>
      </c>
      <c r="AI28" s="52">
        <f>SUM(AI25:AI27)</f>
        <v>3000</v>
      </c>
      <c r="AJ28" s="52">
        <f>SUM(AJ25:AJ27)</f>
        <v>3000</v>
      </c>
      <c r="AL28" s="68">
        <f>SUM(AL25:AL27)</f>
        <v>27000</v>
      </c>
      <c r="AN28" s="52">
        <f>SUM(AN25:AN27)</f>
        <v>18000</v>
      </c>
      <c r="AO28" s="52">
        <f>SUM(AO25:AO27)</f>
        <v>3000</v>
      </c>
      <c r="AP28" s="52">
        <f>SUM(AP25:AP27)</f>
        <v>3000</v>
      </c>
      <c r="AQ28" s="52">
        <f>SUM(AQ25:AQ27)</f>
        <v>3000</v>
      </c>
      <c r="AS28" s="68">
        <f>SUM(AS25:AS27)</f>
        <v>27000</v>
      </c>
    </row>
    <row r="29" spans="2:45" ht="12.75">
      <c r="B29" s="8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Q29" s="34"/>
      <c r="S29" s="60"/>
      <c r="T29" s="60"/>
      <c r="U29" s="60"/>
      <c r="V29" s="60"/>
      <c r="W29" s="60"/>
      <c r="X29" s="80"/>
      <c r="Z29" s="60"/>
      <c r="AA29" s="60"/>
      <c r="AB29" s="60"/>
      <c r="AC29" s="60"/>
      <c r="AE29" s="104"/>
      <c r="AG29" s="60"/>
      <c r="AH29" s="60"/>
      <c r="AI29" s="60"/>
      <c r="AJ29" s="60"/>
      <c r="AL29" s="104"/>
      <c r="AN29" s="60"/>
      <c r="AO29" s="60"/>
      <c r="AP29" s="60"/>
      <c r="AQ29" s="60"/>
      <c r="AS29" s="104"/>
    </row>
    <row r="30" spans="2:45" ht="12.75">
      <c r="B30" s="8" t="s">
        <v>89</v>
      </c>
      <c r="D30" s="49">
        <v>0</v>
      </c>
      <c r="E30" s="49">
        <v>1000</v>
      </c>
      <c r="F30" s="49">
        <v>0</v>
      </c>
      <c r="G30" s="49">
        <v>0</v>
      </c>
      <c r="H30" s="49">
        <v>1000</v>
      </c>
      <c r="I30" s="49">
        <v>0</v>
      </c>
      <c r="J30" s="49">
        <v>0</v>
      </c>
      <c r="K30" s="49">
        <v>1000</v>
      </c>
      <c r="L30" s="49">
        <v>0</v>
      </c>
      <c r="M30" s="49">
        <v>0</v>
      </c>
      <c r="N30" s="49">
        <v>1000</v>
      </c>
      <c r="O30" s="49">
        <v>0</v>
      </c>
      <c r="Q30" s="23">
        <f>SUM(D30:P30)</f>
        <v>4000</v>
      </c>
      <c r="S30" s="51">
        <v>1500</v>
      </c>
      <c r="T30" s="51">
        <v>1500</v>
      </c>
      <c r="U30" s="51">
        <v>1500</v>
      </c>
      <c r="V30" s="51">
        <v>1500</v>
      </c>
      <c r="W30" s="51"/>
      <c r="X30" s="41">
        <f>SUM(S30:V30)</f>
        <v>6000</v>
      </c>
      <c r="Z30" s="51">
        <v>1500</v>
      </c>
      <c r="AA30" s="51">
        <v>1500</v>
      </c>
      <c r="AB30" s="51">
        <v>1500</v>
      </c>
      <c r="AC30" s="51">
        <v>1500</v>
      </c>
      <c r="AD30" s="51"/>
      <c r="AE30" s="66">
        <f aca="true" t="shared" si="20" ref="AE30:AE35">SUM(Z30:AD30)</f>
        <v>6000</v>
      </c>
      <c r="AG30" s="51">
        <v>2000</v>
      </c>
      <c r="AH30" s="51">
        <v>2000</v>
      </c>
      <c r="AI30" s="51">
        <v>2000</v>
      </c>
      <c r="AJ30" s="51">
        <v>2000</v>
      </c>
      <c r="AK30" s="51"/>
      <c r="AL30" s="66">
        <f aca="true" t="shared" si="21" ref="AL30:AL35">SUM(AG30:AK30)</f>
        <v>8000</v>
      </c>
      <c r="AN30" s="51">
        <v>2000</v>
      </c>
      <c r="AO30" s="51">
        <v>2000</v>
      </c>
      <c r="AP30" s="51">
        <v>2000</v>
      </c>
      <c r="AQ30" s="51">
        <v>2000</v>
      </c>
      <c r="AR30" s="51"/>
      <c r="AS30" s="66">
        <f aca="true" t="shared" si="22" ref="AS30:AS35">SUM(AN30:AR30)</f>
        <v>8000</v>
      </c>
    </row>
    <row r="31" spans="2:45" ht="12.75">
      <c r="B31" s="8" t="s">
        <v>113</v>
      </c>
      <c r="D31" s="41">
        <v>1000</v>
      </c>
      <c r="E31" s="41">
        <v>1000</v>
      </c>
      <c r="F31" s="41">
        <v>1000</v>
      </c>
      <c r="G31" s="41">
        <v>1000</v>
      </c>
      <c r="H31" s="41">
        <v>1000</v>
      </c>
      <c r="I31" s="41">
        <v>1000</v>
      </c>
      <c r="J31" s="41">
        <v>1000</v>
      </c>
      <c r="K31" s="41">
        <v>1000</v>
      </c>
      <c r="L31" s="41">
        <v>1000</v>
      </c>
      <c r="M31" s="41">
        <v>1000</v>
      </c>
      <c r="N31" s="41">
        <v>1000</v>
      </c>
      <c r="O31" s="41">
        <v>1000</v>
      </c>
      <c r="Q31" s="23">
        <f>SUM(D31:P31)</f>
        <v>12000</v>
      </c>
      <c r="S31" s="23">
        <v>4000</v>
      </c>
      <c r="T31" s="23">
        <v>4000</v>
      </c>
      <c r="U31" s="23">
        <v>4000</v>
      </c>
      <c r="V31" s="23">
        <v>4000</v>
      </c>
      <c r="W31" s="23"/>
      <c r="X31" s="41">
        <f>SUM(S31:V31)</f>
        <v>16000</v>
      </c>
      <c r="Z31" s="23">
        <f>X31/4</f>
        <v>4000</v>
      </c>
      <c r="AA31" s="23">
        <f>Z31</f>
        <v>4000</v>
      </c>
      <c r="AB31" s="23">
        <f>AA31</f>
        <v>4000</v>
      </c>
      <c r="AC31" s="23">
        <f>AB31</f>
        <v>4000</v>
      </c>
      <c r="AD31" s="23"/>
      <c r="AE31" s="66">
        <f t="shared" si="20"/>
        <v>16000</v>
      </c>
      <c r="AG31" s="23">
        <v>5000</v>
      </c>
      <c r="AH31" s="23">
        <v>5000</v>
      </c>
      <c r="AI31" s="23">
        <v>5000</v>
      </c>
      <c r="AJ31" s="23">
        <v>5000</v>
      </c>
      <c r="AK31" s="23"/>
      <c r="AL31" s="66">
        <f t="shared" si="21"/>
        <v>20000</v>
      </c>
      <c r="AN31" s="23">
        <v>5000</v>
      </c>
      <c r="AO31" s="23">
        <v>5000</v>
      </c>
      <c r="AP31" s="23">
        <v>5000</v>
      </c>
      <c r="AQ31" s="23">
        <v>5000</v>
      </c>
      <c r="AR31" s="23"/>
      <c r="AS31" s="66">
        <f t="shared" si="22"/>
        <v>20000</v>
      </c>
    </row>
    <row r="32" spans="2:45" ht="12" customHeight="1">
      <c r="B32" s="8" t="s">
        <v>107</v>
      </c>
      <c r="D32" s="41">
        <v>500</v>
      </c>
      <c r="E32" s="41">
        <v>500</v>
      </c>
      <c r="F32" s="41">
        <v>500</v>
      </c>
      <c r="G32" s="41">
        <v>500</v>
      </c>
      <c r="H32" s="41">
        <v>500</v>
      </c>
      <c r="I32" s="41">
        <v>500</v>
      </c>
      <c r="J32" s="41">
        <v>500</v>
      </c>
      <c r="K32" s="41">
        <v>500</v>
      </c>
      <c r="L32" s="41">
        <v>500</v>
      </c>
      <c r="M32" s="41">
        <v>500</v>
      </c>
      <c r="N32" s="41">
        <v>500</v>
      </c>
      <c r="O32" s="41">
        <v>500</v>
      </c>
      <c r="Q32" s="23">
        <f>SUM(D32:O32)</f>
        <v>6000</v>
      </c>
      <c r="S32" s="23">
        <v>2000</v>
      </c>
      <c r="T32" s="23">
        <v>2000</v>
      </c>
      <c r="U32" s="23">
        <v>2000</v>
      </c>
      <c r="V32" s="23">
        <v>2000</v>
      </c>
      <c r="W32" s="23"/>
      <c r="X32" s="41">
        <f>SUM(S32:W32)</f>
        <v>8000</v>
      </c>
      <c r="Z32" s="23">
        <v>13000</v>
      </c>
      <c r="AA32" s="23">
        <v>13000</v>
      </c>
      <c r="AB32" s="23">
        <v>13000</v>
      </c>
      <c r="AC32" s="23">
        <v>13000</v>
      </c>
      <c r="AD32" s="23"/>
      <c r="AE32" s="66">
        <f t="shared" si="20"/>
        <v>52000</v>
      </c>
      <c r="AG32" s="23">
        <v>13000</v>
      </c>
      <c r="AH32" s="23">
        <v>13000</v>
      </c>
      <c r="AI32" s="23">
        <v>13000</v>
      </c>
      <c r="AJ32" s="23">
        <v>13000</v>
      </c>
      <c r="AK32" s="23"/>
      <c r="AL32" s="66">
        <f t="shared" si="21"/>
        <v>52000</v>
      </c>
      <c r="AN32" s="23">
        <v>13000</v>
      </c>
      <c r="AO32" s="23">
        <v>13000</v>
      </c>
      <c r="AP32" s="23">
        <v>13000</v>
      </c>
      <c r="AQ32" s="23">
        <v>13000</v>
      </c>
      <c r="AR32" s="23"/>
      <c r="AS32" s="66">
        <f t="shared" si="22"/>
        <v>52000</v>
      </c>
    </row>
    <row r="33" spans="2:45" ht="12.75">
      <c r="B33" s="8" t="s">
        <v>13</v>
      </c>
      <c r="D33" s="41">
        <f>Headcount!F31</f>
        <v>2000</v>
      </c>
      <c r="E33" s="41">
        <f>Headcount!G31</f>
        <v>2000</v>
      </c>
      <c r="F33" s="41">
        <f>Headcount!H31</f>
        <v>2000</v>
      </c>
      <c r="G33" s="41">
        <f>Headcount!I31</f>
        <v>2000</v>
      </c>
      <c r="H33" s="41">
        <f>Headcount!J31</f>
        <v>2000</v>
      </c>
      <c r="I33" s="41">
        <f>Headcount!K31</f>
        <v>6000</v>
      </c>
      <c r="J33" s="41">
        <f>Headcount!L31</f>
        <v>6000</v>
      </c>
      <c r="K33" s="41">
        <f>Headcount!M31</f>
        <v>8000</v>
      </c>
      <c r="L33" s="41">
        <f>Headcount!N31</f>
        <v>8000</v>
      </c>
      <c r="M33" s="41">
        <f>Headcount!O31</f>
        <v>10000</v>
      </c>
      <c r="N33" s="41">
        <f>Headcount!P31</f>
        <v>12000</v>
      </c>
      <c r="O33" s="41">
        <f>Headcount!Q31</f>
        <v>12000</v>
      </c>
      <c r="Q33" s="23">
        <f>SUM(D33:O33)</f>
        <v>72000</v>
      </c>
      <c r="S33" s="23">
        <f>Q33/4</f>
        <v>18000</v>
      </c>
      <c r="T33" s="23">
        <f>S33</f>
        <v>18000</v>
      </c>
      <c r="U33" s="23">
        <f>T33</f>
        <v>18000</v>
      </c>
      <c r="V33" s="23">
        <f>U33</f>
        <v>18000</v>
      </c>
      <c r="W33" s="41"/>
      <c r="X33" s="41">
        <f>SUM(S33:W33)</f>
        <v>72000</v>
      </c>
      <c r="Z33" s="41">
        <f>Headcount!X31</f>
        <v>54000</v>
      </c>
      <c r="AA33" s="41">
        <f>Headcount!Y31</f>
        <v>54000</v>
      </c>
      <c r="AB33" s="41">
        <f>Headcount!Z31</f>
        <v>54000</v>
      </c>
      <c r="AC33" s="41">
        <f>Headcount!AA31</f>
        <v>54000</v>
      </c>
      <c r="AD33" s="41"/>
      <c r="AE33" s="66">
        <f t="shared" si="20"/>
        <v>216000</v>
      </c>
      <c r="AG33" s="41">
        <f>Headcount!AC31</f>
        <v>72000</v>
      </c>
      <c r="AH33" s="41">
        <f>Headcount!AD31</f>
        <v>72000</v>
      </c>
      <c r="AI33" s="41">
        <f>Headcount!AE31</f>
        <v>72000</v>
      </c>
      <c r="AJ33" s="41">
        <f>Headcount!AF31</f>
        <v>72000</v>
      </c>
      <c r="AK33" s="41"/>
      <c r="AL33" s="66">
        <f t="shared" si="21"/>
        <v>288000</v>
      </c>
      <c r="AN33" s="41">
        <f>Headcount!AH31</f>
        <v>90000</v>
      </c>
      <c r="AO33" s="41">
        <f>Headcount!AI31</f>
        <v>90000</v>
      </c>
      <c r="AP33" s="41">
        <f>Headcount!AJ31</f>
        <v>90000</v>
      </c>
      <c r="AQ33" s="41">
        <f>Headcount!AK31</f>
        <v>90000</v>
      </c>
      <c r="AR33" s="41"/>
      <c r="AS33" s="66">
        <f t="shared" si="22"/>
        <v>360000</v>
      </c>
    </row>
    <row r="34" spans="2:45" ht="12.75">
      <c r="B34" s="8" t="s">
        <v>14</v>
      </c>
      <c r="D34" s="48">
        <f>Headcount!F32</f>
        <v>1000</v>
      </c>
      <c r="E34" s="48">
        <f>Headcount!G32</f>
        <v>1000</v>
      </c>
      <c r="F34" s="48">
        <f>Headcount!H32</f>
        <v>1000</v>
      </c>
      <c r="G34" s="48">
        <f>Headcount!I32</f>
        <v>1000</v>
      </c>
      <c r="H34" s="48">
        <f>Headcount!J32</f>
        <v>1000</v>
      </c>
      <c r="I34" s="48">
        <f>Headcount!K32</f>
        <v>3000</v>
      </c>
      <c r="J34" s="48">
        <f>Headcount!L32</f>
        <v>3000</v>
      </c>
      <c r="K34" s="48">
        <f>Headcount!M32</f>
        <v>4000</v>
      </c>
      <c r="L34" s="48">
        <f>Headcount!N32</f>
        <v>4000</v>
      </c>
      <c r="M34" s="48">
        <f>Headcount!O32</f>
        <v>5000</v>
      </c>
      <c r="N34" s="48">
        <f>Headcount!P32</f>
        <v>6000</v>
      </c>
      <c r="O34" s="48">
        <f>Headcount!Q32</f>
        <v>6000</v>
      </c>
      <c r="Q34" s="23">
        <f>SUM(D34:O34)</f>
        <v>36000</v>
      </c>
      <c r="S34" s="23">
        <f>Q34/4</f>
        <v>9000</v>
      </c>
      <c r="T34" s="23">
        <f aca="true" t="shared" si="23" ref="T34:V35">S34</f>
        <v>9000</v>
      </c>
      <c r="U34" s="23">
        <f t="shared" si="23"/>
        <v>9000</v>
      </c>
      <c r="V34" s="23">
        <f t="shared" si="23"/>
        <v>9000</v>
      </c>
      <c r="W34" s="51"/>
      <c r="X34" s="41">
        <f>SUM(S34:W34)</f>
        <v>36000</v>
      </c>
      <c r="Z34" s="51">
        <f>Headcount!X32</f>
        <v>27000</v>
      </c>
      <c r="AA34" s="51">
        <f>Headcount!Y32</f>
        <v>27000</v>
      </c>
      <c r="AB34" s="51">
        <f>Headcount!Z32</f>
        <v>27000</v>
      </c>
      <c r="AC34" s="51">
        <f>Headcount!AA32</f>
        <v>27000</v>
      </c>
      <c r="AD34" s="51"/>
      <c r="AE34" s="66">
        <f t="shared" si="20"/>
        <v>108000</v>
      </c>
      <c r="AG34" s="41">
        <f>Headcount!AC32</f>
        <v>36000</v>
      </c>
      <c r="AH34" s="41">
        <f>Headcount!AD32</f>
        <v>36000</v>
      </c>
      <c r="AI34" s="41">
        <f>Headcount!AE32</f>
        <v>36000</v>
      </c>
      <c r="AJ34" s="41">
        <f>Headcount!AF32</f>
        <v>36000</v>
      </c>
      <c r="AK34" s="51"/>
      <c r="AL34" s="66">
        <f t="shared" si="21"/>
        <v>144000</v>
      </c>
      <c r="AN34" s="41">
        <f>Headcount!AH32</f>
        <v>45000</v>
      </c>
      <c r="AO34" s="41">
        <f>Headcount!AI32</f>
        <v>45000</v>
      </c>
      <c r="AP34" s="41">
        <f>Headcount!AJ32</f>
        <v>45000</v>
      </c>
      <c r="AQ34" s="41">
        <f>Headcount!AK32</f>
        <v>45000</v>
      </c>
      <c r="AR34" s="51"/>
      <c r="AS34" s="66">
        <f t="shared" si="22"/>
        <v>180000</v>
      </c>
    </row>
    <row r="35" spans="2:45" ht="12.75">
      <c r="B35" s="8" t="s">
        <v>18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Q35" s="23"/>
      <c r="S35" s="23">
        <f>Q35/4</f>
        <v>0</v>
      </c>
      <c r="T35" s="23">
        <f t="shared" si="23"/>
        <v>0</v>
      </c>
      <c r="U35" s="23">
        <f t="shared" si="23"/>
        <v>0</v>
      </c>
      <c r="V35" s="23">
        <f t="shared" si="23"/>
        <v>0</v>
      </c>
      <c r="W35" s="51"/>
      <c r="X35" s="41">
        <f>SUM(S35:W35)</f>
        <v>0</v>
      </c>
      <c r="Z35" s="23">
        <v>0</v>
      </c>
      <c r="AA35" s="23">
        <v>0</v>
      </c>
      <c r="AB35" s="51">
        <v>0</v>
      </c>
      <c r="AC35" s="51">
        <v>0</v>
      </c>
      <c r="AD35" s="51"/>
      <c r="AE35" s="66">
        <f t="shared" si="20"/>
        <v>0</v>
      </c>
      <c r="AG35" s="23">
        <v>0</v>
      </c>
      <c r="AH35" s="23">
        <v>0</v>
      </c>
      <c r="AI35" s="51">
        <v>0</v>
      </c>
      <c r="AJ35" s="51">
        <v>0</v>
      </c>
      <c r="AK35" s="51"/>
      <c r="AL35" s="66">
        <f t="shared" si="21"/>
        <v>0</v>
      </c>
      <c r="AN35" s="23">
        <v>0</v>
      </c>
      <c r="AO35" s="23">
        <v>0</v>
      </c>
      <c r="AP35" s="51">
        <v>0</v>
      </c>
      <c r="AQ35" s="51">
        <v>0</v>
      </c>
      <c r="AR35" s="51"/>
      <c r="AS35" s="66">
        <f t="shared" si="22"/>
        <v>0</v>
      </c>
    </row>
    <row r="36" spans="2:45" ht="12.75">
      <c r="B36" s="8"/>
      <c r="D36" s="7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Q36" s="23"/>
      <c r="S36" s="23"/>
      <c r="T36" s="23"/>
      <c r="U36" s="23"/>
      <c r="V36" s="23"/>
      <c r="W36" s="51"/>
      <c r="X36" s="41"/>
      <c r="Z36" s="23"/>
      <c r="AA36" s="23"/>
      <c r="AB36" s="51"/>
      <c r="AC36" s="51"/>
      <c r="AD36" s="51"/>
      <c r="AE36" s="66"/>
      <c r="AG36" s="23"/>
      <c r="AH36" s="23"/>
      <c r="AI36" s="51"/>
      <c r="AJ36" s="51"/>
      <c r="AK36" s="51"/>
      <c r="AL36" s="66"/>
      <c r="AN36" s="23"/>
      <c r="AO36" s="23"/>
      <c r="AP36" s="51"/>
      <c r="AQ36" s="51"/>
      <c r="AR36" s="51"/>
      <c r="AS36" s="66"/>
    </row>
    <row r="37" spans="2:45" ht="12.75">
      <c r="B37" s="12" t="s">
        <v>116</v>
      </c>
      <c r="D37" s="15">
        <f>D35+D34+D33+D32+D31+D30+D28+D22+D17+D10+D9</f>
        <v>83354.33333333334</v>
      </c>
      <c r="E37" s="15">
        <f>E35+E34+E33+E32+E31+E30+E28+E22+E17+E10+E9</f>
        <v>83520.83333333334</v>
      </c>
      <c r="F37" s="15">
        <f>F35+F34+F33+F32+F31+F30+F28+F22+F17+F10+F9</f>
        <v>82620.83333333334</v>
      </c>
      <c r="G37" s="15">
        <f aca="true" t="shared" si="24" ref="G37:AS37">G35+G34+G33+G32+G31+G30+G28+G22+G17+G10+G9</f>
        <v>82520.83333333334</v>
      </c>
      <c r="H37" s="15">
        <f t="shared" si="24"/>
        <v>83520.83333333334</v>
      </c>
      <c r="I37" s="15">
        <f t="shared" si="24"/>
        <v>159037.5</v>
      </c>
      <c r="J37" s="15">
        <f t="shared" si="24"/>
        <v>188271.98333333334</v>
      </c>
      <c r="K37" s="15">
        <f t="shared" si="24"/>
        <v>201855.31666666668</v>
      </c>
      <c r="L37" s="15">
        <f t="shared" si="24"/>
        <v>201455.31666666668</v>
      </c>
      <c r="M37" s="15">
        <f t="shared" si="24"/>
        <v>237896.98333333334</v>
      </c>
      <c r="N37" s="15">
        <f t="shared" si="24"/>
        <v>271126.15</v>
      </c>
      <c r="O37" s="15">
        <f t="shared" si="24"/>
        <v>270626.15</v>
      </c>
      <c r="P37" s="15">
        <f t="shared" si="24"/>
        <v>0</v>
      </c>
      <c r="Q37" s="15">
        <f t="shared" si="24"/>
        <v>1945807.066666667</v>
      </c>
      <c r="R37" s="15">
        <f t="shared" si="24"/>
        <v>0</v>
      </c>
      <c r="S37" s="15">
        <f t="shared" si="24"/>
        <v>970937.5</v>
      </c>
      <c r="T37" s="15">
        <f t="shared" si="24"/>
        <v>930062.5</v>
      </c>
      <c r="U37" s="15">
        <f t="shared" si="24"/>
        <v>915750</v>
      </c>
      <c r="V37" s="15">
        <f t="shared" si="24"/>
        <v>915750</v>
      </c>
      <c r="W37" s="58"/>
      <c r="X37" s="15">
        <f t="shared" si="24"/>
        <v>3732500</v>
      </c>
      <c r="Z37" s="15">
        <f t="shared" si="24"/>
        <v>1140250</v>
      </c>
      <c r="AA37" s="15">
        <f t="shared" si="24"/>
        <v>1125250</v>
      </c>
      <c r="AB37" s="15">
        <f t="shared" si="24"/>
        <v>1126251.15</v>
      </c>
      <c r="AC37" s="15">
        <f t="shared" si="24"/>
        <v>1126251.15</v>
      </c>
      <c r="AD37" s="58"/>
      <c r="AE37" s="15">
        <f>AE35+AE34+AE33+AE32+AE31+AE30+AE28+AE22+AE17+AE10+AE9</f>
        <v>4518002.3</v>
      </c>
      <c r="AG37" s="15">
        <f t="shared" si="24"/>
        <v>1311151.15</v>
      </c>
      <c r="AH37" s="15">
        <f t="shared" si="24"/>
        <v>1296151.15</v>
      </c>
      <c r="AI37" s="15">
        <f t="shared" si="24"/>
        <v>1296151.15</v>
      </c>
      <c r="AJ37" s="15">
        <f t="shared" si="24"/>
        <v>1296151.15</v>
      </c>
      <c r="AK37" s="58"/>
      <c r="AL37" s="15">
        <f t="shared" si="24"/>
        <v>5199604.6</v>
      </c>
      <c r="AN37" s="15">
        <f t="shared" si="24"/>
        <v>1436401.15</v>
      </c>
      <c r="AO37" s="15">
        <f t="shared" si="24"/>
        <v>1421401.15</v>
      </c>
      <c r="AP37" s="15">
        <f t="shared" si="24"/>
        <v>1421401.15</v>
      </c>
      <c r="AQ37" s="15">
        <f t="shared" si="24"/>
        <v>1421401.15</v>
      </c>
      <c r="AR37" s="58"/>
      <c r="AS37" s="15">
        <f t="shared" si="24"/>
        <v>5700604.6</v>
      </c>
    </row>
    <row r="38" spans="2:45" ht="12.75">
      <c r="B38" s="17"/>
      <c r="I38" s="23"/>
      <c r="J38" s="23"/>
      <c r="Q38" s="23"/>
      <c r="X38" s="41"/>
      <c r="AE38" s="66"/>
      <c r="AL38" s="66"/>
      <c r="AS38" s="66"/>
    </row>
    <row r="39" spans="2:45" ht="12" customHeight="1">
      <c r="B39" s="9" t="s">
        <v>62</v>
      </c>
      <c r="D39" s="16">
        <f>D6-D37</f>
        <v>-68354.33333333334</v>
      </c>
      <c r="E39" s="16">
        <f aca="true" t="shared" si="25" ref="E39:O39">E6-E37</f>
        <v>-83520.83333333334</v>
      </c>
      <c r="F39" s="16">
        <f t="shared" si="25"/>
        <v>-82620.83333333334</v>
      </c>
      <c r="G39" s="16">
        <f t="shared" si="25"/>
        <v>-50020.83333333334</v>
      </c>
      <c r="H39" s="16">
        <f t="shared" si="25"/>
        <v>-18520.833333333343</v>
      </c>
      <c r="I39" s="16">
        <f t="shared" si="25"/>
        <v>-159037.5</v>
      </c>
      <c r="J39" s="16">
        <f t="shared" si="25"/>
        <v>-155771.98333333334</v>
      </c>
      <c r="K39" s="16">
        <f t="shared" si="25"/>
        <v>-149855.31666666668</v>
      </c>
      <c r="L39" s="16">
        <f t="shared" si="25"/>
        <v>-103955.31666666668</v>
      </c>
      <c r="M39" s="16">
        <f t="shared" si="25"/>
        <v>-162896.98333333334</v>
      </c>
      <c r="N39" s="16">
        <f t="shared" si="25"/>
        <v>-158626.15000000002</v>
      </c>
      <c r="O39" s="16">
        <f t="shared" si="25"/>
        <v>-270626.15</v>
      </c>
      <c r="Q39" s="56">
        <f>SUM(D39:O39)</f>
        <v>-1463807.066666667</v>
      </c>
      <c r="S39" s="16">
        <f>S6-S37</f>
        <v>-610937.5</v>
      </c>
      <c r="T39" s="16">
        <f>T6-T37</f>
        <v>-210062.5</v>
      </c>
      <c r="U39" s="16">
        <f>U6-U37</f>
        <v>-65750</v>
      </c>
      <c r="V39" s="16">
        <f>V6-V37</f>
        <v>-320750</v>
      </c>
      <c r="W39" s="16"/>
      <c r="X39" s="63">
        <f>SUM(S39:W39)</f>
        <v>-1207500</v>
      </c>
      <c r="Z39" s="16">
        <f>Z6-Z37</f>
        <v>-60250</v>
      </c>
      <c r="AA39" s="16">
        <f>AA6-AA37</f>
        <v>899750</v>
      </c>
      <c r="AB39" s="16">
        <f>AB6-AB37</f>
        <v>1236248.85</v>
      </c>
      <c r="AC39" s="16">
        <f>AC6-AC37</f>
        <v>898748.8500000001</v>
      </c>
      <c r="AD39" s="16"/>
      <c r="AE39" s="69">
        <f>SUM(Z39:AD39)</f>
        <v>2974497.7</v>
      </c>
      <c r="AG39" s="16">
        <f>AG6-AG37</f>
        <v>1523848.85</v>
      </c>
      <c r="AH39" s="16">
        <f>AH6-AH37</f>
        <v>2753848.85</v>
      </c>
      <c r="AI39" s="16">
        <f>AI6-AI37</f>
        <v>2753848.85</v>
      </c>
      <c r="AJ39" s="16">
        <f>AJ6-AJ37</f>
        <v>2348848.85</v>
      </c>
      <c r="AK39" s="16"/>
      <c r="AL39" s="69">
        <f>SUM(AG39:AK39)</f>
        <v>9380395.4</v>
      </c>
      <c r="AN39" s="16">
        <f>AN6-AN37</f>
        <v>2613598.85</v>
      </c>
      <c r="AO39" s="16">
        <f>AO6-AO37</f>
        <v>6678598.85</v>
      </c>
      <c r="AP39" s="16">
        <f>AP6-AP37</f>
        <v>6678598.85</v>
      </c>
      <c r="AQ39" s="16">
        <f>AQ6-AQ37</f>
        <v>3978598.85</v>
      </c>
      <c r="AR39" s="16"/>
      <c r="AS39" s="69">
        <f>SUM(AN39:AR39)</f>
        <v>19949395.4</v>
      </c>
    </row>
    <row r="40" spans="2:45" ht="12" customHeight="1">
      <c r="B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Q40" s="56"/>
      <c r="S40" s="16"/>
      <c r="T40" s="16"/>
      <c r="U40" s="16"/>
      <c r="V40" s="16"/>
      <c r="W40" s="16"/>
      <c r="X40" s="63"/>
      <c r="Z40" s="16"/>
      <c r="AA40" s="16"/>
      <c r="AB40" s="16"/>
      <c r="AC40" s="16"/>
      <c r="AD40" s="16"/>
      <c r="AE40" s="69"/>
      <c r="AG40" s="16"/>
      <c r="AH40" s="16"/>
      <c r="AI40" s="16"/>
      <c r="AJ40" s="16"/>
      <c r="AK40" s="16"/>
      <c r="AL40" s="69"/>
      <c r="AN40" s="16"/>
      <c r="AO40" s="16"/>
      <c r="AP40" s="16"/>
      <c r="AQ40" s="16"/>
      <c r="AR40" s="16"/>
      <c r="AS40" s="69"/>
    </row>
    <row r="41" spans="2:45" ht="12.75">
      <c r="B41" s="7" t="s">
        <v>0</v>
      </c>
      <c r="I41" s="23"/>
      <c r="J41" s="23"/>
      <c r="Q41" s="23"/>
      <c r="X41" s="41"/>
      <c r="AE41" s="66"/>
      <c r="AL41" s="66"/>
      <c r="AS41" s="66"/>
    </row>
    <row r="42" spans="2:45" ht="12.75">
      <c r="B42" s="21" t="s">
        <v>145</v>
      </c>
      <c r="D42" s="41">
        <v>13219.48</v>
      </c>
      <c r="E42" s="41">
        <f>'Balance Sheet'!E28-'Balance Sheet'!D28+'Balance Sheet'!E29-'Balance Sheet'!D29+'Balance Sheet'!E30-'Balance Sheet'!D30</f>
        <v>13219.476133333346</v>
      </c>
      <c r="F42" s="41">
        <f>'Balance Sheet'!F28-'Balance Sheet'!E28+'Balance Sheet'!F29-'Balance Sheet'!E29+'Balance Sheet'!F30-'Balance Sheet'!E30</f>
        <v>13219.476133333343</v>
      </c>
      <c r="G42" s="41">
        <f>'Balance Sheet'!G28-'Balance Sheet'!F28+'Balance Sheet'!G29-'Balance Sheet'!F29+'Balance Sheet'!G30-'Balance Sheet'!F30</f>
        <v>13219.476133333343</v>
      </c>
      <c r="H42" s="41">
        <f>'Balance Sheet'!H28-'Balance Sheet'!G28+'Balance Sheet'!H29-'Balance Sheet'!G29+'Balance Sheet'!H30-'Balance Sheet'!G30</f>
        <v>13219.476133333344</v>
      </c>
      <c r="I42" s="41">
        <f>'Balance Sheet'!I28-'Balance Sheet'!H28+'Balance Sheet'!I29-'Balance Sheet'!H29+'Balance Sheet'!I30-'Balance Sheet'!H30</f>
        <v>13219.476133333344</v>
      </c>
      <c r="J42" s="23">
        <v>0</v>
      </c>
      <c r="Q42" s="23"/>
      <c r="X42" s="41"/>
      <c r="AE42" s="66"/>
      <c r="AL42" s="66"/>
      <c r="AS42" s="66"/>
    </row>
    <row r="43" spans="2:45" ht="12.75">
      <c r="B43" s="8" t="s">
        <v>15</v>
      </c>
      <c r="D43" s="41">
        <f>-Headcount!F36</f>
        <v>2154</v>
      </c>
      <c r="E43" s="41">
        <f>-Headcount!G36</f>
        <v>798.4898333333333</v>
      </c>
      <c r="F43" s="41">
        <f>-Headcount!H36</f>
        <v>785.1816694444444</v>
      </c>
      <c r="G43" s="41">
        <f>-Headcount!I36</f>
        <v>772.095308287037</v>
      </c>
      <c r="H43" s="41">
        <f>-Headcount!J36</f>
        <v>759.2270531489197</v>
      </c>
      <c r="I43" s="41">
        <f>-Headcount!K36</f>
        <v>996.5732689297711</v>
      </c>
      <c r="J43" s="41">
        <f>-Headcount!L36</f>
        <v>1179.9637144476083</v>
      </c>
      <c r="K43" s="41">
        <f>-Headcount!M36</f>
        <v>1210.297652540148</v>
      </c>
      <c r="L43" s="41">
        <f>-Headcount!N36</f>
        <v>1273.4593583311457</v>
      </c>
      <c r="M43" s="41">
        <f>-Headcount!O36</f>
        <v>1402.2350356922932</v>
      </c>
      <c r="N43" s="41">
        <f>-Headcount!P36</f>
        <v>1528.8644517640882</v>
      </c>
      <c r="O43" s="41">
        <f>-Headcount!Q36</f>
        <v>1503.38337756802</v>
      </c>
      <c r="Q43" s="23">
        <f>SUM(D43:O43)</f>
        <v>14363.770723486807</v>
      </c>
      <c r="S43" s="41">
        <f>-Headcount!S36</f>
        <v>5247.480963825658</v>
      </c>
      <c r="T43" s="41">
        <f>-Headcount!T36</f>
        <v>5235.106915634376</v>
      </c>
      <c r="U43" s="41">
        <f>-Headcount!U36</f>
        <v>5223.351569852657</v>
      </c>
      <c r="V43" s="41">
        <f>-Headcount!V36</f>
        <v>5212.183991360024</v>
      </c>
      <c r="X43" s="41">
        <f>SUM(S43:V43)</f>
        <v>20918.123440672716</v>
      </c>
      <c r="Z43" s="41">
        <f>-Headcount!X36</f>
        <v>5764.074791792023</v>
      </c>
      <c r="AA43" s="41">
        <f>-Headcount!Y36</f>
        <v>5975.871052202421</v>
      </c>
      <c r="AB43" s="41">
        <f>-Headcount!Z36</f>
        <v>6177.0774995923</v>
      </c>
      <c r="AC43" s="41">
        <f>-Headcount!AA36</f>
        <v>6118.223624612686</v>
      </c>
      <c r="AE43" s="66">
        <f>SUM(Z43:AC43)</f>
        <v>24035.246968199426</v>
      </c>
      <c r="AG43" s="41">
        <f>-Headcount!AC36</f>
        <v>6624.812443382051</v>
      </c>
      <c r="AH43" s="41">
        <f>-Headcount!AD36</f>
        <v>7293.571821212949</v>
      </c>
      <c r="AI43" s="41">
        <f>-Headcount!AE36</f>
        <v>7928.893230152302</v>
      </c>
      <c r="AJ43" s="41">
        <f>-Headcount!AF36</f>
        <v>8032.448568644686</v>
      </c>
      <c r="AL43" s="66">
        <f>SUM(AG43:AJ43)</f>
        <v>29879.726063391987</v>
      </c>
      <c r="AN43" s="41">
        <f>-Headcount!AH36</f>
        <v>8118.326140212451</v>
      </c>
      <c r="AO43" s="41">
        <f>-Headcount!AI36</f>
        <v>8712.40983320183</v>
      </c>
      <c r="AP43" s="41">
        <f>-Headcount!AJ36</f>
        <v>9526.789341541738</v>
      </c>
      <c r="AQ43" s="41">
        <f>-Headcount!AK36</f>
        <v>10050.449874464652</v>
      </c>
      <c r="AS43" s="66">
        <f>SUM(AN43:AQ43)</f>
        <v>36407.97518942067</v>
      </c>
    </row>
    <row r="44" spans="2:45" ht="12.75">
      <c r="B44" s="8" t="s">
        <v>114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Q44" s="23">
        <f>SUM(D44:O44)</f>
        <v>0</v>
      </c>
      <c r="S44" s="41">
        <v>0</v>
      </c>
      <c r="T44" s="41">
        <v>0</v>
      </c>
      <c r="U44" s="41">
        <v>0</v>
      </c>
      <c r="V44" s="41">
        <v>0</v>
      </c>
      <c r="W44" s="41"/>
      <c r="X44" s="41">
        <f>SUM(S44:V44)</f>
        <v>0</v>
      </c>
      <c r="Z44" s="41">
        <v>0</v>
      </c>
      <c r="AA44" s="41">
        <v>0</v>
      </c>
      <c r="AB44" s="41">
        <v>0</v>
      </c>
      <c r="AC44" s="41">
        <f>AC39*30%</f>
        <v>269624.655</v>
      </c>
      <c r="AD44" s="41"/>
      <c r="AE44" s="66">
        <f>SUM(Z44:AC44)</f>
        <v>269624.655</v>
      </c>
      <c r="AG44" s="41">
        <f>AG39*30%</f>
        <v>457154.655</v>
      </c>
      <c r="AH44" s="41">
        <f>AH39*30%</f>
        <v>826154.655</v>
      </c>
      <c r="AI44" s="41">
        <f>AI39*30%</f>
        <v>826154.655</v>
      </c>
      <c r="AJ44" s="41">
        <f>AJ39*30%</f>
        <v>704654.655</v>
      </c>
      <c r="AK44" s="41"/>
      <c r="AL44" s="66">
        <f>SUM(AG44:AJ44)</f>
        <v>2814118.62</v>
      </c>
      <c r="AN44" s="41">
        <f>AN39*30%</f>
        <v>784079.655</v>
      </c>
      <c r="AO44" s="41">
        <f>AO39*30%</f>
        <v>2003579.6549999998</v>
      </c>
      <c r="AP44" s="41">
        <f>AP39*30%</f>
        <v>2003579.6549999998</v>
      </c>
      <c r="AQ44" s="41">
        <f>AQ39*30%</f>
        <v>1193579.655</v>
      </c>
      <c r="AR44" s="41"/>
      <c r="AS44" s="66">
        <f>SUM(AN44:AQ44)</f>
        <v>5984818.62</v>
      </c>
    </row>
    <row r="45" spans="2:45" ht="12.75">
      <c r="B45" s="8" t="s">
        <v>54</v>
      </c>
      <c r="D45" s="23">
        <f>13219</f>
        <v>13219</v>
      </c>
      <c r="E45" s="53">
        <f>'Balance Sheet'!E28-'Balance Sheet'!D28+'Balance Sheet'!E29-'Balance Sheet'!D29+'Balance Sheet'!E30-'Balance Sheet'!D30</f>
        <v>13219.476133333346</v>
      </c>
      <c r="F45" s="53">
        <f>'Balance Sheet'!F28-'Balance Sheet'!E28+'Balance Sheet'!F29-'Balance Sheet'!E29+'Balance Sheet'!F30-'Balance Sheet'!E30</f>
        <v>13219.476133333343</v>
      </c>
      <c r="G45" s="53">
        <f>'Balance Sheet'!G28-'Balance Sheet'!F28+'Balance Sheet'!G29-'Balance Sheet'!F29+'Balance Sheet'!G30-'Balance Sheet'!F30</f>
        <v>13219.476133333343</v>
      </c>
      <c r="H45" s="53">
        <f>'Balance Sheet'!H28-'Balance Sheet'!G28+'Balance Sheet'!H29-'Balance Sheet'!G29+'Balance Sheet'!H30-'Balance Sheet'!G30</f>
        <v>13219.476133333344</v>
      </c>
      <c r="I45" s="53">
        <f>'Balance Sheet'!I28-'Balance Sheet'!H28+'Balance Sheet'!I29-'Balance Sheet'!H29+'Balance Sheet'!I30-'Balance Sheet'!H30</f>
        <v>13219.476133333344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Q45" s="23">
        <v>0</v>
      </c>
      <c r="S45" s="41">
        <v>0</v>
      </c>
      <c r="T45" s="41">
        <v>0</v>
      </c>
      <c r="U45" s="41">
        <v>0</v>
      </c>
      <c r="V45" s="41">
        <v>0</v>
      </c>
      <c r="W45" s="41"/>
      <c r="X45" s="41">
        <f>SUM(S45:V45)</f>
        <v>0</v>
      </c>
      <c r="Z45" s="41">
        <v>0</v>
      </c>
      <c r="AA45" s="41">
        <v>0</v>
      </c>
      <c r="AB45" s="41">
        <v>0</v>
      </c>
      <c r="AC45" s="41">
        <v>0</v>
      </c>
      <c r="AD45" s="41"/>
      <c r="AE45" s="66">
        <f>SUM(Z45:AC45)</f>
        <v>0</v>
      </c>
      <c r="AG45" s="41">
        <v>0</v>
      </c>
      <c r="AH45" s="41">
        <v>0</v>
      </c>
      <c r="AI45" s="41">
        <v>0</v>
      </c>
      <c r="AJ45" s="41">
        <v>0</v>
      </c>
      <c r="AK45" s="41"/>
      <c r="AL45" s="66">
        <f>SUM(AG45:AJ45)</f>
        <v>0</v>
      </c>
      <c r="AN45" s="41">
        <v>0</v>
      </c>
      <c r="AO45" s="41">
        <v>0</v>
      </c>
      <c r="AP45" s="41">
        <v>0</v>
      </c>
      <c r="AQ45" s="41">
        <v>0</v>
      </c>
      <c r="AR45" s="41"/>
      <c r="AS45" s="66">
        <f>SUM(AN45:AQ45)</f>
        <v>0</v>
      </c>
    </row>
    <row r="46" spans="2:45" ht="12" customHeight="1">
      <c r="B46" s="11" t="s">
        <v>1</v>
      </c>
      <c r="D46" s="54">
        <f>SUM(D42:D45)</f>
        <v>28592.48</v>
      </c>
      <c r="E46" s="54">
        <f aca="true" t="shared" si="26" ref="E46:O46">SUM(E42:E45)</f>
        <v>27237.442100000026</v>
      </c>
      <c r="F46" s="54">
        <f t="shared" si="26"/>
        <v>27224.13393611113</v>
      </c>
      <c r="G46" s="54">
        <f t="shared" si="26"/>
        <v>27211.04757495372</v>
      </c>
      <c r="H46" s="54">
        <f t="shared" si="26"/>
        <v>27198.17931981561</v>
      </c>
      <c r="I46" s="54">
        <f t="shared" si="26"/>
        <v>27435.525535596462</v>
      </c>
      <c r="J46" s="54">
        <f t="shared" si="26"/>
        <v>1179.9637144476083</v>
      </c>
      <c r="K46" s="54">
        <f t="shared" si="26"/>
        <v>1210.297652540148</v>
      </c>
      <c r="L46" s="54">
        <f t="shared" si="26"/>
        <v>1273.4593583311457</v>
      </c>
      <c r="M46" s="54">
        <f t="shared" si="26"/>
        <v>1402.2350356922932</v>
      </c>
      <c r="N46" s="54">
        <f t="shared" si="26"/>
        <v>1528.8644517640882</v>
      </c>
      <c r="O46" s="54">
        <f t="shared" si="26"/>
        <v>1503.38337756802</v>
      </c>
      <c r="Q46" s="46">
        <f>SUM(Q43:Q45)</f>
        <v>14363.770723486807</v>
      </c>
      <c r="S46" s="54">
        <f>SUM(S43:S45)</f>
        <v>5247.480963825658</v>
      </c>
      <c r="T46" s="54">
        <f>SUM(T43:T45)</f>
        <v>5235.106915634376</v>
      </c>
      <c r="U46" s="54">
        <f>SUM(U43:U45)</f>
        <v>5223.351569852657</v>
      </c>
      <c r="V46" s="54">
        <f>SUM(V43:V45)</f>
        <v>5212.183991360024</v>
      </c>
      <c r="W46" s="59"/>
      <c r="X46" s="61">
        <f>SUM(X43:X45)</f>
        <v>20918.123440672716</v>
      </c>
      <c r="Z46" s="54">
        <f>SUM(Z43:Z45)</f>
        <v>5764.074791792023</v>
      </c>
      <c r="AA46" s="54">
        <f>SUM(AA43:AA45)</f>
        <v>5975.871052202421</v>
      </c>
      <c r="AB46" s="54">
        <f>SUM(AB43:AB45)</f>
        <v>6177.0774995923</v>
      </c>
      <c r="AC46" s="54">
        <f>SUM(AC43:AC45)</f>
        <v>275742.8786246127</v>
      </c>
      <c r="AD46" s="59"/>
      <c r="AE46" s="67">
        <f>SUM(AE43:AE45)</f>
        <v>293659.90196819947</v>
      </c>
      <c r="AG46" s="54">
        <f>SUM(AG43:AG45)</f>
        <v>463779.4674433821</v>
      </c>
      <c r="AH46" s="54">
        <f>SUM(AH43:AH45)</f>
        <v>833448.226821213</v>
      </c>
      <c r="AI46" s="54">
        <f>SUM(AI43:AI45)</f>
        <v>834083.5482301523</v>
      </c>
      <c r="AJ46" s="54">
        <f>SUM(AJ43:AJ45)</f>
        <v>712687.1035686447</v>
      </c>
      <c r="AK46" s="59"/>
      <c r="AL46" s="67">
        <f>SUM(AL43:AL45)</f>
        <v>2843998.3460633922</v>
      </c>
      <c r="AN46" s="54">
        <f>SUM(AN43:AN45)</f>
        <v>792197.9811402125</v>
      </c>
      <c r="AO46" s="54">
        <f>SUM(AO43:AO45)</f>
        <v>2012292.0648332017</v>
      </c>
      <c r="AP46" s="54">
        <f>SUM(AP43:AP45)</f>
        <v>2013106.4443415415</v>
      </c>
      <c r="AQ46" s="54">
        <f>SUM(AQ43:AQ45)</f>
        <v>1203630.1048744647</v>
      </c>
      <c r="AR46" s="59"/>
      <c r="AS46" s="67">
        <f>SUM(AS43:AS45)</f>
        <v>6021226.5951894205</v>
      </c>
    </row>
    <row r="47" spans="2:45" ht="15" customHeight="1">
      <c r="B47" s="14"/>
      <c r="E47" s="23"/>
      <c r="F47" s="23"/>
      <c r="G47" s="23"/>
      <c r="H47" s="23"/>
      <c r="I47" s="23"/>
      <c r="J47" s="23"/>
      <c r="Q47" s="23"/>
      <c r="T47" s="23"/>
      <c r="X47" s="41"/>
      <c r="AE47" s="66"/>
      <c r="AL47" s="66"/>
      <c r="AS47" s="66"/>
    </row>
    <row r="48" spans="2:45" s="2" customFormat="1" ht="15.75" customHeight="1" thickBot="1">
      <c r="B48" s="13" t="s">
        <v>2</v>
      </c>
      <c r="D48" s="55">
        <f aca="true" t="shared" si="27" ref="D48:Q48">D39-D46</f>
        <v>-96946.81333333334</v>
      </c>
      <c r="E48" s="55">
        <f>E39-E46</f>
        <v>-110758.27543333337</v>
      </c>
      <c r="F48" s="55">
        <f t="shared" si="27"/>
        <v>-109844.96726944447</v>
      </c>
      <c r="G48" s="55">
        <f t="shared" si="27"/>
        <v>-77231.88090828707</v>
      </c>
      <c r="H48" s="55">
        <f t="shared" si="27"/>
        <v>-45719.01265314895</v>
      </c>
      <c r="I48" s="55">
        <f t="shared" si="27"/>
        <v>-186473.02553559648</v>
      </c>
      <c r="J48" s="55">
        <f t="shared" si="27"/>
        <v>-156951.94704778094</v>
      </c>
      <c r="K48" s="55">
        <f t="shared" si="27"/>
        <v>-151065.61431920683</v>
      </c>
      <c r="L48" s="55">
        <f t="shared" si="27"/>
        <v>-105228.77602499783</v>
      </c>
      <c r="M48" s="55">
        <f t="shared" si="27"/>
        <v>-164299.21836902562</v>
      </c>
      <c r="N48" s="55">
        <f t="shared" si="27"/>
        <v>-160155.01445176412</v>
      </c>
      <c r="O48" s="55">
        <f t="shared" si="27"/>
        <v>-272129.53337756806</v>
      </c>
      <c r="P48" s="18">
        <f t="shared" si="27"/>
        <v>0</v>
      </c>
      <c r="Q48" s="55">
        <f t="shared" si="27"/>
        <v>-1478170.8373901537</v>
      </c>
      <c r="R48" s="18"/>
      <c r="S48" s="55">
        <f>S39-S46</f>
        <v>-616184.9809638257</v>
      </c>
      <c r="T48" s="55">
        <f>T39-T46</f>
        <v>-215297.6069156344</v>
      </c>
      <c r="U48" s="55">
        <f>U39-U46</f>
        <v>-70973.35156985266</v>
      </c>
      <c r="V48" s="55">
        <f>V39-V46</f>
        <v>-325962.18399136</v>
      </c>
      <c r="W48" s="18"/>
      <c r="X48" s="62">
        <f>X39-X46</f>
        <v>-1228418.1234406726</v>
      </c>
      <c r="Z48" s="55">
        <f>Z39-Z46</f>
        <v>-66014.07479179202</v>
      </c>
      <c r="AA48" s="55">
        <f>AA39-AA46</f>
        <v>893774.1289477976</v>
      </c>
      <c r="AB48" s="55">
        <f>AB39-AB46</f>
        <v>1230071.7725004079</v>
      </c>
      <c r="AC48" s="55">
        <f>AC39-AC46</f>
        <v>623005.9713753874</v>
      </c>
      <c r="AD48" s="18"/>
      <c r="AE48" s="70">
        <f>SUM(Z48:AD48)</f>
        <v>2680837.798031801</v>
      </c>
      <c r="AG48" s="55">
        <f>AG39-AG46</f>
        <v>1060069.382556618</v>
      </c>
      <c r="AH48" s="55">
        <f>AH39-AH46</f>
        <v>1920400.623178787</v>
      </c>
      <c r="AI48" s="55">
        <f>AI39-AI46</f>
        <v>1919765.3017698477</v>
      </c>
      <c r="AJ48" s="55">
        <f>AJ39-AJ46</f>
        <v>1636161.7464313554</v>
      </c>
      <c r="AK48" s="18"/>
      <c r="AL48" s="70">
        <f>SUM(AG48:AK48)</f>
        <v>6536397.053936608</v>
      </c>
      <c r="AN48" s="55">
        <f>AN39-AN46</f>
        <v>1821400.8688597875</v>
      </c>
      <c r="AO48" s="55">
        <f>AO39-AO46</f>
        <v>4666306.785166798</v>
      </c>
      <c r="AP48" s="55">
        <f>AP39-AP46</f>
        <v>4665492.405658458</v>
      </c>
      <c r="AQ48" s="55">
        <f>AQ39-AQ46</f>
        <v>2774968.7451255354</v>
      </c>
      <c r="AR48" s="18"/>
      <c r="AS48" s="70">
        <f>AS39-AS46</f>
        <v>13928168.804810578</v>
      </c>
    </row>
    <row r="49" spans="9:10" ht="13.5" thickTop="1">
      <c r="I49" s="23"/>
      <c r="J49" s="23"/>
    </row>
    <row r="50" spans="2:45" ht="12.75">
      <c r="B50" s="120" t="s">
        <v>101</v>
      </c>
      <c r="D50" s="41">
        <f>Headcount!F25+Headcount!F26</f>
        <v>0</v>
      </c>
      <c r="E50" s="41">
        <f>Headcount!G25+Headcount!G26</f>
        <v>0</v>
      </c>
      <c r="F50" s="41">
        <f>Headcount!H25+Headcount!H26</f>
        <v>0</v>
      </c>
      <c r="G50" s="41">
        <f>Headcount!I25+Headcount!I26</f>
        <v>0</v>
      </c>
      <c r="H50" s="41">
        <f>Headcount!J25+Headcount!J26</f>
        <v>0</v>
      </c>
      <c r="I50" s="41">
        <f>Headcount!K25+Headcount!K26</f>
        <v>15000</v>
      </c>
      <c r="J50" s="41">
        <f>Headcount!L25+Headcount!L26+5000</f>
        <v>17000</v>
      </c>
      <c r="K50" s="41">
        <f>Headcount!M25+Headcount!M26</f>
        <v>3000</v>
      </c>
      <c r="L50" s="41">
        <f>Headcount!N25+Headcount!N26</f>
        <v>5000</v>
      </c>
      <c r="M50" s="41">
        <f>Headcount!O25+Headcount!O26</f>
        <v>9000</v>
      </c>
      <c r="N50" s="41">
        <f>Headcount!P25+Headcount!P26+5000</f>
        <v>14000</v>
      </c>
      <c r="O50" s="41">
        <f>Headcount!Q25+Headcount!Q26</f>
        <v>0</v>
      </c>
      <c r="Q50" s="23">
        <f>SUM(D50:O50)</f>
        <v>63000</v>
      </c>
      <c r="S50" s="41">
        <f>Headcount!S25+Headcount!S26</f>
        <v>16250</v>
      </c>
      <c r="T50" s="41">
        <f>Headcount!T25+Headcount!T26</f>
        <v>5000</v>
      </c>
      <c r="U50" s="41">
        <v>5000</v>
      </c>
      <c r="V50" s="41">
        <f>Headcount!V25+Headcount!V26+5000</f>
        <v>10000</v>
      </c>
      <c r="X50" s="23">
        <f>SUM(S50:V50)</f>
        <v>36250</v>
      </c>
      <c r="Z50" s="41">
        <f>Headcount!X25+Headcount!X26</f>
        <v>16250</v>
      </c>
      <c r="AA50" s="41">
        <f>Headcount!Y25+Headcount!Y26</f>
        <v>10000</v>
      </c>
      <c r="AB50" s="41">
        <f>Headcount!Z25+Headcount!Z26</f>
        <v>10000</v>
      </c>
      <c r="AC50" s="41">
        <f>Headcount!AA25+Headcount!AA26</f>
        <v>5000</v>
      </c>
      <c r="AE50" s="23">
        <f>SUM(Z50:AD50)</f>
        <v>41250</v>
      </c>
      <c r="AG50" s="41">
        <f>Headcount!AC25+Headcount!AC26</f>
        <v>16250</v>
      </c>
      <c r="AH50" s="41">
        <f>Headcount!AD25+Headcount!AD26</f>
        <v>20000</v>
      </c>
      <c r="AI50" s="41">
        <f>Headcount!AE25+Headcount!AE26</f>
        <v>20000</v>
      </c>
      <c r="AJ50" s="41">
        <f>Headcount!AF25+Headcount!AF26</f>
        <v>10000</v>
      </c>
      <c r="AL50" s="23">
        <f>SUM(AG50:AK50)</f>
        <v>66250</v>
      </c>
      <c r="AN50" s="41">
        <f>Headcount!AH25+Headcount!AH26</f>
        <v>9750</v>
      </c>
      <c r="AO50" s="41">
        <f>Headcount!AI25+Headcount!AI26</f>
        <v>20000</v>
      </c>
      <c r="AP50" s="41">
        <f>Headcount!AJ25+Headcount!AJ26</f>
        <v>25000</v>
      </c>
      <c r="AQ50" s="41">
        <f>Headcount!AK25+Headcount!AK26</f>
        <v>20000</v>
      </c>
      <c r="AS50" s="23">
        <f>SUM(AN50:AR50)</f>
        <v>74750</v>
      </c>
    </row>
    <row r="52" spans="2:45" ht="12.75">
      <c r="B52" s="136" t="s">
        <v>125</v>
      </c>
      <c r="D52" s="23">
        <f>D48-D50</f>
        <v>-96946.81333333334</v>
      </c>
      <c r="E52" s="23">
        <f aca="true" t="shared" si="28" ref="E52:O52">E48-E50</f>
        <v>-110758.27543333337</v>
      </c>
      <c r="F52" s="23">
        <f t="shared" si="28"/>
        <v>-109844.96726944447</v>
      </c>
      <c r="G52" s="23">
        <f t="shared" si="28"/>
        <v>-77231.88090828707</v>
      </c>
      <c r="H52" s="23">
        <f t="shared" si="28"/>
        <v>-45719.01265314895</v>
      </c>
      <c r="I52" s="23">
        <f t="shared" si="28"/>
        <v>-201473.02553559648</v>
      </c>
      <c r="J52" s="23">
        <f t="shared" si="28"/>
        <v>-173951.94704778094</v>
      </c>
      <c r="K52" s="23">
        <f t="shared" si="28"/>
        <v>-154065.61431920683</v>
      </c>
      <c r="L52" s="23">
        <f t="shared" si="28"/>
        <v>-110228.77602499783</v>
      </c>
      <c r="M52" s="23">
        <f t="shared" si="28"/>
        <v>-173299.21836902562</v>
      </c>
      <c r="N52" s="23">
        <f t="shared" si="28"/>
        <v>-174155.01445176412</v>
      </c>
      <c r="O52" s="23">
        <f t="shared" si="28"/>
        <v>-272129.53337756806</v>
      </c>
      <c r="Q52" s="23">
        <f>SUM(D52:O52)</f>
        <v>-1699804.0787234872</v>
      </c>
      <c r="S52" s="23">
        <f>S48-S50</f>
        <v>-632434.9809638257</v>
      </c>
      <c r="T52" s="23">
        <f>T48-T50</f>
        <v>-220297.6069156344</v>
      </c>
      <c r="U52" s="23">
        <f>U48-U50</f>
        <v>-75973.35156985266</v>
      </c>
      <c r="V52" s="23">
        <f>V48-V50</f>
        <v>-335962.18399136</v>
      </c>
      <c r="X52" s="23">
        <f>SUM(S52:V52)</f>
        <v>-1264668.1234406726</v>
      </c>
      <c r="Z52" s="23">
        <f>Z48-Z50</f>
        <v>-82264.07479179202</v>
      </c>
      <c r="AA52" s="23">
        <f>AA48-AA50</f>
        <v>883774.1289477976</v>
      </c>
      <c r="AB52" s="23">
        <f>AB48-AB50</f>
        <v>1220071.7725004079</v>
      </c>
      <c r="AC52" s="23">
        <f>AC48-AC50</f>
        <v>618005.9713753874</v>
      </c>
      <c r="AE52" s="23">
        <f>SUM(Z52:AC52)</f>
        <v>2639587.798031801</v>
      </c>
      <c r="AG52" s="23">
        <f>AG48-AG50</f>
        <v>1043819.382556618</v>
      </c>
      <c r="AH52" s="23">
        <f>AH48-AH50</f>
        <v>1900400.623178787</v>
      </c>
      <c r="AI52" s="23">
        <f>AI48-AI50</f>
        <v>1899765.3017698477</v>
      </c>
      <c r="AJ52" s="23">
        <f>AJ48-AJ50</f>
        <v>1626161.7464313554</v>
      </c>
      <c r="AL52" s="23">
        <f>SUM(AG52:AK52)</f>
        <v>6470147.053936608</v>
      </c>
      <c r="AN52" s="23">
        <f>AN48-AN50</f>
        <v>1811650.8688597875</v>
      </c>
      <c r="AO52" s="23">
        <f>AO48-AO50</f>
        <v>4646306.785166798</v>
      </c>
      <c r="AP52" s="23">
        <f>AP48-AP50</f>
        <v>4640492.405658458</v>
      </c>
      <c r="AQ52" s="23">
        <f>AQ48-AQ50</f>
        <v>2754968.7451255354</v>
      </c>
      <c r="AS52" s="23">
        <f>SUM(AN52:AR52)</f>
        <v>13853418.80481058</v>
      </c>
    </row>
    <row r="53" spans="4:30" ht="12.75">
      <c r="D53" s="23">
        <f>D52</f>
        <v>-96946.81333333334</v>
      </c>
      <c r="E53" s="23">
        <f>D53+E52</f>
        <v>-207705.0887666667</v>
      </c>
      <c r="F53" s="23">
        <f aca="true" t="shared" si="29" ref="F53:O53">E53+F52</f>
        <v>-317550.0560361112</v>
      </c>
      <c r="G53" s="23">
        <f t="shared" si="29"/>
        <v>-394781.9369443983</v>
      </c>
      <c r="H53" s="23">
        <f t="shared" si="29"/>
        <v>-440500.94959754724</v>
      </c>
      <c r="I53" s="23">
        <f t="shared" si="29"/>
        <v>-641973.9751331437</v>
      </c>
      <c r="J53" s="23">
        <f t="shared" si="29"/>
        <v>-815925.9221809247</v>
      </c>
      <c r="K53" s="23">
        <f t="shared" si="29"/>
        <v>-969991.5365001315</v>
      </c>
      <c r="L53" s="23">
        <f t="shared" si="29"/>
        <v>-1080220.3125251294</v>
      </c>
      <c r="M53" s="23">
        <f t="shared" si="29"/>
        <v>-1253519.5308941551</v>
      </c>
      <c r="N53" s="23">
        <f t="shared" si="29"/>
        <v>-1427674.5453459192</v>
      </c>
      <c r="O53" s="23">
        <f t="shared" si="29"/>
        <v>-1699804.0787234872</v>
      </c>
      <c r="S53" s="23">
        <f>O53+S52</f>
        <v>-2332239.0596873127</v>
      </c>
      <c r="T53" s="23">
        <f>S53+T52</f>
        <v>-2552536.6666029473</v>
      </c>
      <c r="U53" s="23">
        <f>T53+U52</f>
        <v>-2628510.0181728</v>
      </c>
      <c r="V53" s="23">
        <f>U53+V52</f>
        <v>-2964472.20216416</v>
      </c>
      <c r="Z53" s="23">
        <f>V53+Z52</f>
        <v>-3046736.276955952</v>
      </c>
      <c r="AA53" s="23">
        <f>Z53+AA52</f>
        <v>-2162962.1480081542</v>
      </c>
      <c r="AB53" s="23">
        <f>AA53+AB52</f>
        <v>-942890.3755077464</v>
      </c>
      <c r="AC53" s="23">
        <f>AB53+AC52</f>
        <v>-324884.40413235896</v>
      </c>
      <c r="AD53" s="23">
        <f>Z53+AD52</f>
        <v>-3046736.276955952</v>
      </c>
    </row>
  </sheetData>
  <printOptions/>
  <pageMargins left="0.75" right="0.75" top="1" bottom="1" header="0.25" footer="0.5"/>
  <pageSetup fitToWidth="2" fitToHeight="1" horizontalDpi="600" verticalDpi="600" orientation="landscape" scale="46" r:id="rId1"/>
  <headerFooter alignWithMargins="0">
    <oddHeader>&amp;CPage &amp;P&amp;RMobitrac Financials 03 04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I54"/>
  <sheetViews>
    <sheetView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00390625" style="5" customWidth="1"/>
    <col min="2" max="2" width="33.140625" style="5" customWidth="1"/>
    <col min="3" max="3" width="4.00390625" style="5" customWidth="1"/>
    <col min="4" max="5" width="11.00390625" style="0" customWidth="1"/>
    <col min="6" max="12" width="14.00390625" style="0" bestFit="1" customWidth="1"/>
    <col min="13" max="13" width="11.00390625" style="0" customWidth="1"/>
    <col min="14" max="14" width="12.28125" style="0" customWidth="1"/>
    <col min="15" max="15" width="11.7109375" style="0" customWidth="1"/>
    <col min="16" max="16" width="3.00390625" style="0" customWidth="1"/>
    <col min="17" max="17" width="11.57421875" style="0" customWidth="1"/>
    <col min="18" max="20" width="11.8515625" style="0" customWidth="1"/>
    <col min="21" max="21" width="3.28125" style="0" customWidth="1"/>
    <col min="22" max="22" width="12.28125" style="0" customWidth="1"/>
    <col min="23" max="23" width="13.28125" style="0" customWidth="1"/>
    <col min="24" max="24" width="12.421875" style="0" customWidth="1"/>
    <col min="25" max="25" width="12.140625" style="0" customWidth="1"/>
    <col min="26" max="26" width="3.28125" style="0" customWidth="1"/>
    <col min="27" max="27" width="12.28125" style="0" customWidth="1"/>
    <col min="28" max="28" width="13.28125" style="0" customWidth="1"/>
    <col min="29" max="29" width="12.421875" style="0" customWidth="1"/>
    <col min="30" max="30" width="12.140625" style="0" customWidth="1"/>
    <col min="31" max="31" width="3.28125" style="0" customWidth="1"/>
    <col min="32" max="32" width="12.28125" style="0" customWidth="1"/>
    <col min="33" max="33" width="13.28125" style="0" customWidth="1"/>
    <col min="34" max="34" width="12.421875" style="0" customWidth="1"/>
    <col min="35" max="35" width="12.140625" style="0" customWidth="1"/>
  </cols>
  <sheetData>
    <row r="1" spans="1:35" s="4" customFormat="1" ht="13.5" thickBot="1">
      <c r="A1" s="3"/>
      <c r="B1" s="5" t="s">
        <v>148</v>
      </c>
      <c r="C1" s="3"/>
      <c r="D1" s="71">
        <v>37987</v>
      </c>
      <c r="E1" s="71">
        <v>38018</v>
      </c>
      <c r="F1" s="71">
        <v>38047</v>
      </c>
      <c r="G1" s="71">
        <v>38078</v>
      </c>
      <c r="H1" s="71">
        <v>38108</v>
      </c>
      <c r="I1" s="71">
        <v>38139</v>
      </c>
      <c r="J1" s="71">
        <v>38169</v>
      </c>
      <c r="K1" s="71">
        <v>38200</v>
      </c>
      <c r="L1" s="71">
        <v>38231</v>
      </c>
      <c r="M1" s="71">
        <v>38261</v>
      </c>
      <c r="N1" s="71">
        <v>38292</v>
      </c>
      <c r="O1" s="71">
        <v>38322</v>
      </c>
      <c r="Q1" s="72" t="s">
        <v>29</v>
      </c>
      <c r="R1" s="72" t="s">
        <v>30</v>
      </c>
      <c r="S1" s="72" t="s">
        <v>31</v>
      </c>
      <c r="T1" s="72" t="s">
        <v>32</v>
      </c>
      <c r="U1" s="28"/>
      <c r="V1" s="72" t="s">
        <v>34</v>
      </c>
      <c r="W1" s="72" t="s">
        <v>35</v>
      </c>
      <c r="X1" s="72" t="s">
        <v>36</v>
      </c>
      <c r="Y1" s="72" t="s">
        <v>37</v>
      </c>
      <c r="Z1" s="28"/>
      <c r="AA1" s="72" t="s">
        <v>120</v>
      </c>
      <c r="AB1" s="72" t="s">
        <v>121</v>
      </c>
      <c r="AC1" s="72" t="s">
        <v>122</v>
      </c>
      <c r="AD1" s="72" t="s">
        <v>123</v>
      </c>
      <c r="AE1" s="28"/>
      <c r="AF1" s="72" t="s">
        <v>126</v>
      </c>
      <c r="AG1" s="72" t="s">
        <v>127</v>
      </c>
      <c r="AH1" s="72" t="s">
        <v>128</v>
      </c>
      <c r="AI1" s="72" t="s">
        <v>129</v>
      </c>
    </row>
    <row r="2" spans="1:3" ht="12.75">
      <c r="A2" s="1"/>
      <c r="C2" s="1"/>
    </row>
    <row r="3" spans="1:3" ht="12.75">
      <c r="A3" s="1"/>
      <c r="B3" s="7" t="s">
        <v>28</v>
      </c>
      <c r="C3" s="1"/>
    </row>
    <row r="4" spans="2:10" ht="12.75">
      <c r="B4" s="21" t="s">
        <v>3</v>
      </c>
      <c r="C4" s="1"/>
      <c r="D4" s="122"/>
      <c r="I4" s="135"/>
      <c r="J4" s="29"/>
    </row>
    <row r="5" spans="2:35" ht="12.75">
      <c r="B5" s="10" t="s">
        <v>19</v>
      </c>
      <c r="C5" s="1"/>
      <c r="D5" s="123">
        <f>SCF!D28</f>
        <v>147394.97966666665</v>
      </c>
      <c r="E5" s="123">
        <f>SCF!E28</f>
        <v>55089.07019999996</v>
      </c>
      <c r="F5" s="123">
        <f>SCF!F28</f>
        <v>-31388.510933333397</v>
      </c>
      <c r="G5" s="123">
        <f>SCF!G28</f>
        <v>-93820.82040000008</v>
      </c>
      <c r="H5" s="123">
        <f>SCF!H28</f>
        <v>-156978.12986666677</v>
      </c>
      <c r="I5" s="123">
        <f>SCF!I28</f>
        <v>-362021.2693333335</v>
      </c>
      <c r="J5" s="123">
        <f>SCF!J28</f>
        <v>-462484.63116666715</v>
      </c>
      <c r="K5" s="123">
        <f>SCF!K28</f>
        <v>-644444.1145000005</v>
      </c>
      <c r="L5" s="123">
        <f>SCF!L28</f>
        <v>-772999.4311666671</v>
      </c>
      <c r="M5" s="123">
        <f>SCF!M28</f>
        <v>-981285.9978333338</v>
      </c>
      <c r="N5" s="123">
        <f>SCF!N28</f>
        <v>-1123104.856166667</v>
      </c>
      <c r="O5" s="123">
        <f>SCF!O28</f>
        <v>-1431356.0061666672</v>
      </c>
      <c r="Q5" s="45">
        <f>SCF!Q28</f>
        <v>-1950965.6686666673</v>
      </c>
      <c r="R5" s="45">
        <f>SCF!R28</f>
        <v>-2356246.9186666673</v>
      </c>
      <c r="S5" s="45">
        <f>SCF!S28</f>
        <v>-2495575.0436666673</v>
      </c>
      <c r="T5" s="45">
        <f>SCF!T28</f>
        <v>-2698825.0436666673</v>
      </c>
      <c r="V5" s="45">
        <f>SCF!V28</f>
        <v>-2961700.0436666673</v>
      </c>
      <c r="W5" s="45">
        <f>SCF!W28</f>
        <v>-2548200.0436666673</v>
      </c>
      <c r="X5" s="45">
        <f>SCF!X28</f>
        <v>-1490450.9061666671</v>
      </c>
      <c r="Y5" s="45">
        <f>SCF!Y28</f>
        <v>-697576.711166667</v>
      </c>
      <c r="AA5" s="45">
        <f>SCF!AA28</f>
        <v>-5907.516166666988</v>
      </c>
      <c r="AB5" s="45">
        <f>SCF!AB28</f>
        <v>1290536.678833333</v>
      </c>
      <c r="AC5" s="45">
        <f>SCF!AC28</f>
        <v>3198230.873833333</v>
      </c>
      <c r="AD5" s="45">
        <f>SCF!AD28</f>
        <v>5034925.068833333</v>
      </c>
      <c r="AF5" s="45">
        <f>SCF!AF28</f>
        <v>6687256.763833333</v>
      </c>
      <c r="AG5" s="45">
        <f>SCF!AG28</f>
        <v>9313525.958833333</v>
      </c>
      <c r="AH5" s="45">
        <f>SCF!AH28</f>
        <v>13963545.153833333</v>
      </c>
      <c r="AI5" s="45">
        <f>SCF!AI28</f>
        <v>18078564.348833334</v>
      </c>
    </row>
    <row r="6" spans="2:35" ht="12.75">
      <c r="B6" s="10" t="s">
        <v>4</v>
      </c>
      <c r="C6" s="1"/>
      <c r="D6" s="124">
        <v>22924.34</v>
      </c>
      <c r="E6" s="74">
        <v>15000</v>
      </c>
      <c r="F6" s="74">
        <f>'Income Statement'!E6</f>
        <v>0</v>
      </c>
      <c r="G6" s="74">
        <f>'Income Statement'!F6</f>
        <v>0</v>
      </c>
      <c r="H6" s="74">
        <f>'Income Statement'!G6</f>
        <v>32500</v>
      </c>
      <c r="I6" s="158">
        <f>'Income Statement'!H6</f>
        <v>65000</v>
      </c>
      <c r="J6" s="158">
        <f>'Income Statement'!I6</f>
        <v>0</v>
      </c>
      <c r="K6" s="74">
        <f>'Income Statement'!J6</f>
        <v>32500</v>
      </c>
      <c r="L6" s="74">
        <f>'Income Statement'!K6</f>
        <v>52000</v>
      </c>
      <c r="M6" s="74">
        <f>'Income Statement'!L6</f>
        <v>97500</v>
      </c>
      <c r="N6" s="74">
        <f>'Income Statement'!M6</f>
        <v>75000</v>
      </c>
      <c r="O6" s="74">
        <f>'Income Statement'!N6</f>
        <v>112500</v>
      </c>
      <c r="Q6" s="74">
        <f>'Income Statement'!S6/2</f>
        <v>180000</v>
      </c>
      <c r="R6" s="74">
        <f>'Income Statement'!T6/2</f>
        <v>360000</v>
      </c>
      <c r="S6" s="74">
        <f>'Income Statement'!U6/2</f>
        <v>425000</v>
      </c>
      <c r="T6" s="74">
        <f>'Income Statement'!V6/2</f>
        <v>297500</v>
      </c>
      <c r="V6" s="74">
        <f>'Income Statement'!Z6/2</f>
        <v>540000</v>
      </c>
      <c r="W6" s="74">
        <f>'Income Statement'!AA6/2</f>
        <v>1012500</v>
      </c>
      <c r="X6" s="74">
        <f>'Income Statement'!AB6/2</f>
        <v>1181250</v>
      </c>
      <c r="Y6" s="74">
        <f>'Income Statement'!AC6/2</f>
        <v>1012500</v>
      </c>
      <c r="AA6" s="74">
        <f>'Income Statement'!AG6/2</f>
        <v>1417500</v>
      </c>
      <c r="AB6" s="74">
        <f>'Income Statement'!AH6/2</f>
        <v>2025000</v>
      </c>
      <c r="AC6" s="74">
        <f>'Income Statement'!AI6/2</f>
        <v>2025000</v>
      </c>
      <c r="AD6" s="74">
        <f>'Income Statement'!AJ6/2</f>
        <v>1822500</v>
      </c>
      <c r="AF6" s="74">
        <f>'Income Statement'!AN6/2</f>
        <v>2025000</v>
      </c>
      <c r="AG6" s="74">
        <f>'Income Statement'!AO6/2</f>
        <v>4050000</v>
      </c>
      <c r="AH6" s="74">
        <f>'Income Statement'!AP6/2</f>
        <v>4050000</v>
      </c>
      <c r="AI6" s="74">
        <f>'Income Statement'!AQ6/2</f>
        <v>2700000</v>
      </c>
    </row>
    <row r="7" spans="2:35" ht="12.75">
      <c r="B7" s="22" t="s">
        <v>5</v>
      </c>
      <c r="C7" s="1"/>
      <c r="D7" s="125">
        <f aca="true" t="shared" si="0" ref="D7:O7">SUM(D5:D6)</f>
        <v>170319.31966666665</v>
      </c>
      <c r="E7" s="75">
        <f t="shared" si="0"/>
        <v>70089.07019999996</v>
      </c>
      <c r="F7" s="75">
        <f t="shared" si="0"/>
        <v>-31388.510933333397</v>
      </c>
      <c r="G7" s="75">
        <f t="shared" si="0"/>
        <v>-93820.82040000008</v>
      </c>
      <c r="H7" s="75">
        <f t="shared" si="0"/>
        <v>-124478.12986666677</v>
      </c>
      <c r="I7" s="75">
        <f t="shared" si="0"/>
        <v>-297021.2693333335</v>
      </c>
      <c r="J7" s="75">
        <f t="shared" si="0"/>
        <v>-462484.63116666715</v>
      </c>
      <c r="K7" s="75">
        <f t="shared" si="0"/>
        <v>-611944.1145000005</v>
      </c>
      <c r="L7" s="75">
        <f t="shared" si="0"/>
        <v>-720999.4311666671</v>
      </c>
      <c r="M7" s="75">
        <f t="shared" si="0"/>
        <v>-883785.9978333338</v>
      </c>
      <c r="N7" s="75">
        <f t="shared" si="0"/>
        <v>-1048104.8561666671</v>
      </c>
      <c r="O7" s="75">
        <f t="shared" si="0"/>
        <v>-1318856.0061666672</v>
      </c>
      <c r="Q7" s="75">
        <f>SUM(Q5:Q6)</f>
        <v>-1770965.6686666673</v>
      </c>
      <c r="R7" s="75">
        <f>SUM(R5:R6)</f>
        <v>-1996246.9186666673</v>
      </c>
      <c r="S7" s="75">
        <f>SUM(S5:S6)</f>
        <v>-2070575.0436666673</v>
      </c>
      <c r="T7" s="75">
        <f>SUM(T5:T6)</f>
        <v>-2401325.0436666673</v>
      </c>
      <c r="V7" s="75">
        <f>SUM(V5:V6)</f>
        <v>-2421700.0436666673</v>
      </c>
      <c r="W7" s="75">
        <f>SUM(W5:W6)</f>
        <v>-1535700.0436666673</v>
      </c>
      <c r="X7" s="75">
        <f>SUM(X5:X6)</f>
        <v>-309200.9061666671</v>
      </c>
      <c r="Y7" s="75">
        <f>SUM(Y5:Y6)</f>
        <v>314923.28883333295</v>
      </c>
      <c r="AA7" s="75">
        <f>SUM(AA5:AA6)</f>
        <v>1411592.483833333</v>
      </c>
      <c r="AB7" s="75">
        <f>SUM(AB5:AB6)</f>
        <v>3315536.678833333</v>
      </c>
      <c r="AC7" s="75">
        <f>SUM(AC5:AC6)</f>
        <v>5223230.873833333</v>
      </c>
      <c r="AD7" s="75">
        <f>SUM(AD5:AD6)</f>
        <v>6857425.068833333</v>
      </c>
      <c r="AF7" s="75">
        <f>SUM(AF5:AF6)</f>
        <v>8712256.763833333</v>
      </c>
      <c r="AG7" s="75">
        <f>SUM(AG5:AG6)</f>
        <v>13363525.958833333</v>
      </c>
      <c r="AH7" s="75">
        <f>SUM(AH5:AH6)</f>
        <v>18013545.153833333</v>
      </c>
      <c r="AI7" s="75">
        <f>SUM(AI5:AI6)</f>
        <v>20778564.348833334</v>
      </c>
    </row>
    <row r="8" spans="2:10" ht="12.75">
      <c r="B8" s="8"/>
      <c r="C8" s="1"/>
      <c r="D8" s="126"/>
      <c r="I8" s="29"/>
      <c r="J8" s="29"/>
    </row>
    <row r="9" spans="2:10" ht="12.75">
      <c r="B9" s="21" t="s">
        <v>20</v>
      </c>
      <c r="C9" s="1"/>
      <c r="D9" s="126"/>
      <c r="I9" s="29"/>
      <c r="J9" s="29"/>
    </row>
    <row r="10" spans="2:35" ht="12.75">
      <c r="B10" s="10" t="s">
        <v>22</v>
      </c>
      <c r="C10" s="1"/>
      <c r="D10" s="123">
        <v>47014.39</v>
      </c>
      <c r="E10" s="29">
        <f>D10+'Income Statement'!E50</f>
        <v>47014.39</v>
      </c>
      <c r="F10" s="29">
        <f>E10+'Income Statement'!F50</f>
        <v>47014.39</v>
      </c>
      <c r="G10" s="29">
        <f>F10+'Income Statement'!G50</f>
        <v>47014.39</v>
      </c>
      <c r="H10" s="29">
        <f>G10+'Income Statement'!H50</f>
        <v>47014.39</v>
      </c>
      <c r="I10" s="29">
        <f>H10+'Income Statement'!I50</f>
        <v>62014.39</v>
      </c>
      <c r="J10" s="29">
        <f>I10+'Income Statement'!J50</f>
        <v>79014.39</v>
      </c>
      <c r="K10" s="29">
        <f>J10+'Income Statement'!K50</f>
        <v>82014.39</v>
      </c>
      <c r="L10" s="29">
        <f>K10+'Income Statement'!L50</f>
        <v>87014.39</v>
      </c>
      <c r="M10" s="29">
        <f>L10+'Income Statement'!M50</f>
        <v>96014.39</v>
      </c>
      <c r="N10" s="29">
        <f>M10+'Income Statement'!N50</f>
        <v>110014.39</v>
      </c>
      <c r="O10" s="29">
        <f>N10+'Income Statement'!O50</f>
        <v>110014.39</v>
      </c>
      <c r="Q10" s="29">
        <f>O10+'Income Statement'!S50</f>
        <v>126264.39</v>
      </c>
      <c r="R10" s="29">
        <f>Q10+'Income Statement'!T50</f>
        <v>131264.39</v>
      </c>
      <c r="S10" s="29">
        <f>R10+'Income Statement'!U50</f>
        <v>136264.39</v>
      </c>
      <c r="T10" s="29">
        <f>S10+'Income Statement'!V50</f>
        <v>146264.39</v>
      </c>
      <c r="V10" s="29">
        <f>T10+'Income Statement'!Z50</f>
        <v>162514.39</v>
      </c>
      <c r="W10" s="29">
        <f>V10+'Income Statement'!AA50</f>
        <v>172514.39</v>
      </c>
      <c r="X10" s="29">
        <f>W10+'Income Statement'!AB50</f>
        <v>182514.39</v>
      </c>
      <c r="Y10" s="29">
        <f>X10+'Income Statement'!AC50</f>
        <v>187514.39</v>
      </c>
      <c r="AA10" s="29">
        <f>Y10+'Income Statement'!AG50</f>
        <v>203764.39</v>
      </c>
      <c r="AB10" s="29">
        <f>AA10+'Income Statement'!AH50</f>
        <v>223764.39</v>
      </c>
      <c r="AC10" s="29">
        <f>AB10+'Income Statement'!AI50</f>
        <v>243764.39</v>
      </c>
      <c r="AD10" s="29">
        <f>AC10+'Income Statement'!AJ50</f>
        <v>253764.39</v>
      </c>
      <c r="AF10" s="29">
        <f>AD10+'Income Statement'!AN50</f>
        <v>263514.39</v>
      </c>
      <c r="AG10" s="29">
        <f>AF10+'Income Statement'!AO50</f>
        <v>283514.39</v>
      </c>
      <c r="AH10" s="29">
        <f>AG10+'Income Statement'!AP50</f>
        <v>308514.39</v>
      </c>
      <c r="AI10" s="29">
        <f>AH10+'Income Statement'!AQ50</f>
        <v>328514.39</v>
      </c>
    </row>
    <row r="11" spans="2:35" ht="12.75">
      <c r="B11" s="10" t="s">
        <v>21</v>
      </c>
      <c r="D11" s="123">
        <v>3049</v>
      </c>
      <c r="E11" s="29">
        <f>D11+'[1]Headcount'!G24</f>
        <v>3049</v>
      </c>
      <c r="F11" s="29">
        <f>E11+'[1]Headcount'!H24</f>
        <v>3049</v>
      </c>
      <c r="G11" s="29">
        <f>F11+'[1]Headcount'!I24</f>
        <v>3049</v>
      </c>
      <c r="H11" s="29">
        <f>G11+'[1]Headcount'!J24</f>
        <v>3049</v>
      </c>
      <c r="I11" s="29">
        <f>H11+'[1]Headcount'!K24</f>
        <v>3049</v>
      </c>
      <c r="J11" s="29">
        <f>I11+'[1]Headcount'!L24</f>
        <v>3049</v>
      </c>
      <c r="K11" s="29">
        <f>J11+'[1]Headcount'!M24</f>
        <v>3049</v>
      </c>
      <c r="L11" s="29">
        <f>K11+'[1]Headcount'!N24</f>
        <v>3049</v>
      </c>
      <c r="M11" s="29">
        <f>L11+'[1]Headcount'!O24</f>
        <v>3049</v>
      </c>
      <c r="N11" s="29">
        <f>M11+'[1]Headcount'!P24</f>
        <v>3049</v>
      </c>
      <c r="O11" s="29">
        <f>N11+'[1]Headcount'!Q24</f>
        <v>3049</v>
      </c>
      <c r="Q11" s="29">
        <f>O11</f>
        <v>3049</v>
      </c>
      <c r="R11" s="29">
        <f>Q11</f>
        <v>3049</v>
      </c>
      <c r="S11" s="29">
        <f>R11</f>
        <v>3049</v>
      </c>
      <c r="T11" s="29">
        <f>S11</f>
        <v>3049</v>
      </c>
      <c r="V11" s="29">
        <f>T11</f>
        <v>3049</v>
      </c>
      <c r="W11" s="29">
        <f>V11</f>
        <v>3049</v>
      </c>
      <c r="X11" s="29">
        <f>W11</f>
        <v>3049</v>
      </c>
      <c r="Y11" s="29">
        <f>X11</f>
        <v>3049</v>
      </c>
      <c r="AA11" s="29">
        <f>Y11</f>
        <v>3049</v>
      </c>
      <c r="AB11" s="29">
        <f>AA11</f>
        <v>3049</v>
      </c>
      <c r="AC11" s="29">
        <f>AB11</f>
        <v>3049</v>
      </c>
      <c r="AD11" s="29">
        <f>AC11</f>
        <v>3049</v>
      </c>
      <c r="AF11" s="29">
        <f>AD11</f>
        <v>3049</v>
      </c>
      <c r="AG11" s="29">
        <f>AF11</f>
        <v>3049</v>
      </c>
      <c r="AH11" s="29">
        <f>AG11</f>
        <v>3049</v>
      </c>
      <c r="AI11" s="29">
        <f>AH11</f>
        <v>3049</v>
      </c>
    </row>
    <row r="12" spans="2:35" ht="12.75">
      <c r="B12" s="10" t="s">
        <v>86</v>
      </c>
      <c r="C12" s="1"/>
      <c r="D12" s="126">
        <v>-2154</v>
      </c>
      <c r="E12" s="29">
        <f>D12-'Income Statement'!E43</f>
        <v>-2952.489833333333</v>
      </c>
      <c r="F12" s="29">
        <f>E12-'Income Statement'!F43</f>
        <v>-3737.6715027777773</v>
      </c>
      <c r="G12" s="29">
        <f>F12-'Income Statement'!G43</f>
        <v>-4509.766811064815</v>
      </c>
      <c r="H12" s="29">
        <f>G12-'Income Statement'!H43</f>
        <v>-5268.993864213734</v>
      </c>
      <c r="I12" s="29">
        <f>H12-'Income Statement'!I43</f>
        <v>-6265.567133143505</v>
      </c>
      <c r="J12" s="29">
        <f>I12-'Income Statement'!J43</f>
        <v>-7445.530847591113</v>
      </c>
      <c r="K12" s="29">
        <f>J12-'Income Statement'!K43</f>
        <v>-8655.828500131262</v>
      </c>
      <c r="L12" s="29">
        <f>K12-'Income Statement'!L43</f>
        <v>-9929.287858462407</v>
      </c>
      <c r="M12" s="29">
        <f>L12-'Income Statement'!M43</f>
        <v>-11331.5228941547</v>
      </c>
      <c r="N12" s="29">
        <f>M12-'Income Statement'!N43</f>
        <v>-12860.387345918787</v>
      </c>
      <c r="O12" s="29">
        <f>N12-'Income Statement'!O43</f>
        <v>-14363.770723486807</v>
      </c>
      <c r="Q12" s="29">
        <f>O12-'Income Statement'!S43</f>
        <v>-19611.251687312466</v>
      </c>
      <c r="R12" s="29">
        <f>Q12-'Income Statement'!T43</f>
        <v>-24846.358602946842</v>
      </c>
      <c r="S12" s="29">
        <f>R12-'Income Statement'!U43</f>
        <v>-30069.7101727995</v>
      </c>
      <c r="T12" s="29">
        <f>S12-'Income Statement'!V43</f>
        <v>-35281.89416415952</v>
      </c>
      <c r="V12" s="29">
        <f>T12-'Income Statement'!Z43</f>
        <v>-41045.96895595155</v>
      </c>
      <c r="W12" s="29">
        <f>V12-'Income Statement'!AA43</f>
        <v>-47021.840008153966</v>
      </c>
      <c r="X12" s="29">
        <f>W12-'Income Statement'!AB43</f>
        <v>-53198.917507746264</v>
      </c>
      <c r="Y12" s="29">
        <f>X12-'Income Statement'!AC43</f>
        <v>-59317.14113235895</v>
      </c>
      <c r="AA12" s="29">
        <f>Y12-'Income Statement'!AG43</f>
        <v>-65941.953575741</v>
      </c>
      <c r="AB12" s="29">
        <f>AA12-'Income Statement'!AH43</f>
        <v>-73235.52539695395</v>
      </c>
      <c r="AC12" s="29">
        <f>AB12-'Income Statement'!AI43</f>
        <v>-81164.41862710625</v>
      </c>
      <c r="AD12" s="29">
        <f>AC12-'Income Statement'!AJ43</f>
        <v>-89196.86719575094</v>
      </c>
      <c r="AF12" s="29">
        <f>AD12-'Income Statement'!AN43</f>
        <v>-97315.19333596338</v>
      </c>
      <c r="AG12" s="29">
        <f>AF12-'Income Statement'!AO43</f>
        <v>-106027.60316916522</v>
      </c>
      <c r="AH12" s="29">
        <f>AG12-'Income Statement'!AP43</f>
        <v>-115554.39251070695</v>
      </c>
      <c r="AI12" s="29">
        <f>AH12-'Income Statement'!AQ43</f>
        <v>-125604.8423851716</v>
      </c>
    </row>
    <row r="13" spans="2:35" ht="12.75">
      <c r="B13" s="22" t="s">
        <v>6</v>
      </c>
      <c r="C13" s="1"/>
      <c r="D13" s="127">
        <f>SUM(D10:D12)</f>
        <v>47909.39</v>
      </c>
      <c r="E13" s="73">
        <f>SUM(E10:E12)</f>
        <v>47110.900166666666</v>
      </c>
      <c r="F13" s="73">
        <f aca="true" t="shared" si="1" ref="F13:O13">SUM(F10:F12)</f>
        <v>46325.718497222224</v>
      </c>
      <c r="G13" s="73">
        <f t="shared" si="1"/>
        <v>45553.623188935184</v>
      </c>
      <c r="H13" s="73">
        <f t="shared" si="1"/>
        <v>44794.396135786264</v>
      </c>
      <c r="I13" s="73">
        <f t="shared" si="1"/>
        <v>58797.82286685649</v>
      </c>
      <c r="J13" s="73">
        <f t="shared" si="1"/>
        <v>74617.85915240888</v>
      </c>
      <c r="K13" s="73">
        <f t="shared" si="1"/>
        <v>76407.56149986874</v>
      </c>
      <c r="L13" s="73">
        <f t="shared" si="1"/>
        <v>80134.10214153759</v>
      </c>
      <c r="M13" s="73">
        <f t="shared" si="1"/>
        <v>87731.8671058453</v>
      </c>
      <c r="N13" s="73">
        <f t="shared" si="1"/>
        <v>100203.00265408121</v>
      </c>
      <c r="O13" s="73">
        <f t="shared" si="1"/>
        <v>98699.6192765132</v>
      </c>
      <c r="Q13" s="73">
        <f>SUM(Q10:Q12)</f>
        <v>109702.13831268753</v>
      </c>
      <c r="R13" s="73">
        <f>SUM(R10:R12)</f>
        <v>109467.03139705317</v>
      </c>
      <c r="S13" s="73">
        <f>SUM(S10:S12)</f>
        <v>109243.67982720051</v>
      </c>
      <c r="T13" s="73">
        <f>SUM(T10:T12)</f>
        <v>114031.4958358405</v>
      </c>
      <c r="V13" s="73">
        <f>SUM(V10:V12)</f>
        <v>124517.42104404847</v>
      </c>
      <c r="W13" s="73">
        <f>SUM(W10:W12)</f>
        <v>128541.54999184606</v>
      </c>
      <c r="X13" s="73">
        <f>SUM(X10:X12)</f>
        <v>132364.47249225376</v>
      </c>
      <c r="Y13" s="73">
        <f>SUM(Y10:Y12)</f>
        <v>131246.24886764106</v>
      </c>
      <c r="AA13" s="73">
        <f>SUM(AA10:AA12)</f>
        <v>140871.436424259</v>
      </c>
      <c r="AB13" s="73">
        <f>SUM(AB10:AB12)</f>
        <v>153577.86460304607</v>
      </c>
      <c r="AC13" s="73">
        <f>SUM(AC10:AC12)</f>
        <v>165648.97137289378</v>
      </c>
      <c r="AD13" s="73">
        <f>SUM(AD10:AD12)</f>
        <v>167616.52280424908</v>
      </c>
      <c r="AF13" s="73">
        <f>SUM(AF10:AF12)</f>
        <v>169248.19666403663</v>
      </c>
      <c r="AG13" s="73">
        <f>SUM(AG10:AG12)</f>
        <v>180535.7868308348</v>
      </c>
      <c r="AH13" s="73">
        <f>SUM(AH10:AH12)</f>
        <v>196008.99748929305</v>
      </c>
      <c r="AI13" s="73">
        <f>SUM(AI10:AI12)</f>
        <v>205958.5476148284</v>
      </c>
    </row>
    <row r="14" spans="2:10" ht="12.75">
      <c r="B14" s="7"/>
      <c r="C14" s="1"/>
      <c r="D14" s="126"/>
      <c r="I14" s="29"/>
      <c r="J14" s="29"/>
    </row>
    <row r="15" spans="2:35" ht="12.75">
      <c r="B15" s="21" t="s">
        <v>134</v>
      </c>
      <c r="C15" s="1"/>
      <c r="D15" s="12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Q15" s="29"/>
      <c r="R15" s="29"/>
      <c r="S15" s="29"/>
      <c r="T15" s="29"/>
      <c r="V15" s="29"/>
      <c r="W15" s="29"/>
      <c r="X15" s="29"/>
      <c r="Y15" s="29"/>
      <c r="AA15" s="29"/>
      <c r="AB15" s="29"/>
      <c r="AC15" s="29"/>
      <c r="AD15" s="29"/>
      <c r="AF15" s="29"/>
      <c r="AG15" s="29"/>
      <c r="AH15" s="29"/>
      <c r="AI15" s="29"/>
    </row>
    <row r="16" spans="2:35" ht="12.75">
      <c r="B16" s="10" t="s">
        <v>135</v>
      </c>
      <c r="C16" s="1"/>
      <c r="D16" s="128">
        <v>3500</v>
      </c>
      <c r="E16" s="29">
        <v>3500</v>
      </c>
      <c r="F16" s="29">
        <v>3500</v>
      </c>
      <c r="G16" s="29">
        <v>3500</v>
      </c>
      <c r="H16" s="29">
        <v>3500</v>
      </c>
      <c r="I16" s="29">
        <v>3500</v>
      </c>
      <c r="J16" s="29">
        <v>3500</v>
      </c>
      <c r="K16" s="29">
        <v>3500</v>
      </c>
      <c r="L16" s="29">
        <v>3500</v>
      </c>
      <c r="M16" s="29">
        <v>3500</v>
      </c>
      <c r="N16" s="29">
        <v>3500</v>
      </c>
      <c r="O16" s="29">
        <v>3500</v>
      </c>
      <c r="Q16" s="29">
        <v>3500</v>
      </c>
      <c r="R16" s="29">
        <v>3500</v>
      </c>
      <c r="S16" s="29">
        <v>3500</v>
      </c>
      <c r="T16" s="29">
        <v>3500</v>
      </c>
      <c r="V16" s="29">
        <v>3500</v>
      </c>
      <c r="W16" s="29">
        <v>3500</v>
      </c>
      <c r="X16" s="29">
        <v>3500</v>
      </c>
      <c r="Y16" s="29">
        <v>3500</v>
      </c>
      <c r="AA16" s="29">
        <v>3500</v>
      </c>
      <c r="AB16" s="29">
        <v>3500</v>
      </c>
      <c r="AC16" s="29">
        <v>3500</v>
      </c>
      <c r="AD16" s="29">
        <v>3500</v>
      </c>
      <c r="AF16" s="29">
        <v>3500</v>
      </c>
      <c r="AG16" s="29">
        <v>3500</v>
      </c>
      <c r="AH16" s="29">
        <v>3500</v>
      </c>
      <c r="AI16" s="29">
        <v>3500</v>
      </c>
    </row>
    <row r="17" spans="2:35" s="2" customFormat="1" ht="12.75">
      <c r="B17" s="10" t="s">
        <v>136</v>
      </c>
      <c r="C17" s="1"/>
      <c r="D17" s="124">
        <v>110052</v>
      </c>
      <c r="E17" s="29">
        <f>D17</f>
        <v>110052</v>
      </c>
      <c r="F17" s="29">
        <f aca="true" t="shared" si="2" ref="F17:O17">E17</f>
        <v>110052</v>
      </c>
      <c r="G17" s="29">
        <f t="shared" si="2"/>
        <v>110052</v>
      </c>
      <c r="H17" s="29">
        <f t="shared" si="2"/>
        <v>110052</v>
      </c>
      <c r="I17" s="29">
        <f t="shared" si="2"/>
        <v>110052</v>
      </c>
      <c r="J17" s="29">
        <f t="shared" si="2"/>
        <v>110052</v>
      </c>
      <c r="K17" s="29">
        <f t="shared" si="2"/>
        <v>110052</v>
      </c>
      <c r="L17" s="29">
        <f t="shared" si="2"/>
        <v>110052</v>
      </c>
      <c r="M17" s="29">
        <f t="shared" si="2"/>
        <v>110052</v>
      </c>
      <c r="N17" s="29">
        <f t="shared" si="2"/>
        <v>110052</v>
      </c>
      <c r="O17" s="29">
        <f t="shared" si="2"/>
        <v>110052</v>
      </c>
      <c r="Q17" s="29">
        <f>O17</f>
        <v>110052</v>
      </c>
      <c r="R17" s="29">
        <f>Q17</f>
        <v>110052</v>
      </c>
      <c r="S17" s="29">
        <f>R17</f>
        <v>110052</v>
      </c>
      <c r="T17" s="29">
        <f>S17</f>
        <v>110052</v>
      </c>
      <c r="U17"/>
      <c r="V17" s="29">
        <f>T17</f>
        <v>110052</v>
      </c>
      <c r="W17" s="29">
        <f>V17</f>
        <v>110052</v>
      </c>
      <c r="X17" s="29">
        <f>W17</f>
        <v>110052</v>
      </c>
      <c r="Y17" s="29">
        <f>X17</f>
        <v>110052</v>
      </c>
      <c r="Z17"/>
      <c r="AA17" s="29">
        <f>Y17</f>
        <v>110052</v>
      </c>
      <c r="AB17" s="29">
        <f>AA17</f>
        <v>110052</v>
      </c>
      <c r="AC17" s="29">
        <f>AB17</f>
        <v>110052</v>
      </c>
      <c r="AD17" s="29">
        <f>AC17</f>
        <v>110052</v>
      </c>
      <c r="AE17"/>
      <c r="AF17" s="29">
        <f>AD17</f>
        <v>110052</v>
      </c>
      <c r="AG17" s="29">
        <f>AF17</f>
        <v>110052</v>
      </c>
      <c r="AH17" s="29">
        <f>AG17</f>
        <v>110052</v>
      </c>
      <c r="AI17" s="29">
        <f>AH17</f>
        <v>110052</v>
      </c>
    </row>
    <row r="18" spans="2:35" s="2" customFormat="1" ht="12.75">
      <c r="B18" s="11" t="s">
        <v>27</v>
      </c>
      <c r="C18" s="1"/>
      <c r="D18" s="129">
        <f>D7+D13+D16+D17</f>
        <v>331780.70966666663</v>
      </c>
      <c r="E18" s="130">
        <f>E7+E13+E16+E17</f>
        <v>230751.97036666662</v>
      </c>
      <c r="F18" s="130">
        <f aca="true" t="shared" si="3" ref="F18:O18">F7+F13+F16+F17</f>
        <v>128489.20756388883</v>
      </c>
      <c r="G18" s="130">
        <f t="shared" si="3"/>
        <v>65284.8027889351</v>
      </c>
      <c r="H18" s="130">
        <f t="shared" si="3"/>
        <v>33868.266269119486</v>
      </c>
      <c r="I18" s="130">
        <f t="shared" si="3"/>
        <v>-124671.44646647698</v>
      </c>
      <c r="J18" s="130">
        <f t="shared" si="3"/>
        <v>-274314.77201425825</v>
      </c>
      <c r="K18" s="130">
        <f t="shared" si="3"/>
        <v>-421984.55300013174</v>
      </c>
      <c r="L18" s="130">
        <f t="shared" si="3"/>
        <v>-527313.3290251296</v>
      </c>
      <c r="M18" s="130">
        <f t="shared" si="3"/>
        <v>-682502.1307274885</v>
      </c>
      <c r="N18" s="130">
        <f t="shared" si="3"/>
        <v>-834349.8535125859</v>
      </c>
      <c r="O18" s="130">
        <f t="shared" si="3"/>
        <v>-1106604.386890154</v>
      </c>
      <c r="Q18" s="130">
        <f>Q7+Q13+Q16+Q17</f>
        <v>-1547711.5303539797</v>
      </c>
      <c r="R18" s="130">
        <f>R7+R13+R16+R17</f>
        <v>-1773227.887269614</v>
      </c>
      <c r="S18" s="130">
        <f>S7+S13+S16+S17</f>
        <v>-1847779.3638394668</v>
      </c>
      <c r="T18" s="130">
        <f>T7+T13+T16+T17</f>
        <v>-2173741.5478308266</v>
      </c>
      <c r="U18"/>
      <c r="V18" s="130">
        <f>V7+V13+V16+V17</f>
        <v>-2183630.622622619</v>
      </c>
      <c r="W18" s="130">
        <f>W7+W13+W16+W17</f>
        <v>-1293606.4936748212</v>
      </c>
      <c r="X18" s="130">
        <f>X7+X13+X16+X17</f>
        <v>-63284.43367441336</v>
      </c>
      <c r="Y18" s="130">
        <f>Y7+Y13+Y16+Y17</f>
        <v>559721.537700974</v>
      </c>
      <c r="Z18"/>
      <c r="AA18" s="130">
        <f>AA7+AA13+AA16+AA17</f>
        <v>1666015.920257592</v>
      </c>
      <c r="AB18" s="130">
        <f>AB7+AB13+AB16+AB17</f>
        <v>3582666.5434363787</v>
      </c>
      <c r="AC18" s="130">
        <f>AC7+AC13+AC16+AC17</f>
        <v>5502431.845206227</v>
      </c>
      <c r="AD18" s="130">
        <f>AD7+AD13+AD16+AD17</f>
        <v>7138593.5916375825</v>
      </c>
      <c r="AE18"/>
      <c r="AF18" s="130">
        <f>AF7+AF13+AF16+AF17</f>
        <v>8995056.96049737</v>
      </c>
      <c r="AG18" s="130">
        <f>AG7+AG13+AG16+AG17</f>
        <v>13657613.745664168</v>
      </c>
      <c r="AH18" s="130">
        <f>AH7+AH13+AH16+AH17</f>
        <v>18323106.151322626</v>
      </c>
      <c r="AI18" s="130">
        <f>AI7+AI13+AI16+AI17</f>
        <v>21098074.89644816</v>
      </c>
    </row>
    <row r="19" spans="2:35" ht="12.75">
      <c r="B19" s="19"/>
      <c r="C19" s="1"/>
      <c r="D19" s="131"/>
      <c r="E19" s="2"/>
      <c r="F19" s="2"/>
      <c r="G19" s="2"/>
      <c r="H19" s="2"/>
      <c r="I19" s="159"/>
      <c r="J19" s="159"/>
      <c r="K19" s="2"/>
      <c r="L19" s="2"/>
      <c r="M19" s="2"/>
      <c r="N19" s="2"/>
      <c r="O19" s="2"/>
      <c r="Q19" s="2"/>
      <c r="R19" s="2"/>
      <c r="S19" s="2"/>
      <c r="T19" s="2"/>
      <c r="V19" s="2"/>
      <c r="W19" s="2"/>
      <c r="X19" s="2"/>
      <c r="Y19" s="2"/>
      <c r="AA19" s="2"/>
      <c r="AB19" s="2"/>
      <c r="AC19" s="2"/>
      <c r="AD19" s="2"/>
      <c r="AF19" s="2"/>
      <c r="AG19" s="2"/>
      <c r="AH19" s="2"/>
      <c r="AI19" s="2"/>
    </row>
    <row r="20" spans="2:10" ht="12.75">
      <c r="B20" s="7" t="s">
        <v>26</v>
      </c>
      <c r="C20" s="1"/>
      <c r="D20" s="126"/>
      <c r="I20" s="29"/>
      <c r="J20" s="29"/>
    </row>
    <row r="21" spans="2:10" ht="12.75">
      <c r="B21" s="7"/>
      <c r="C21" s="1"/>
      <c r="D21" s="126"/>
      <c r="I21" s="29"/>
      <c r="J21" s="29"/>
    </row>
    <row r="22" spans="2:10" ht="12.75">
      <c r="B22" s="21" t="s">
        <v>7</v>
      </c>
      <c r="C22" s="1"/>
      <c r="D22" s="126"/>
      <c r="I22" s="29"/>
      <c r="J22" s="29"/>
    </row>
    <row r="23" spans="2:35" ht="12.75">
      <c r="B23" s="10" t="s">
        <v>8</v>
      </c>
      <c r="C23" s="1"/>
      <c r="D23" s="152">
        <v>31448.42</v>
      </c>
      <c r="E23" s="117">
        <v>27125.48</v>
      </c>
      <c r="F23" s="117">
        <f>'Income Statement'!F37*25%</f>
        <v>20655.208333333336</v>
      </c>
      <c r="G23" s="117">
        <f>'Income Statement'!G37*25%</f>
        <v>20630.208333333336</v>
      </c>
      <c r="H23" s="117">
        <f>'Income Statement'!H37*25%</f>
        <v>20880.208333333336</v>
      </c>
      <c r="I23" s="158">
        <f>'Income Statement'!I37*25%</f>
        <v>39759.375</v>
      </c>
      <c r="J23" s="158">
        <f>'Income Statement'!J37*25%</f>
        <v>47067.995833333334</v>
      </c>
      <c r="K23" s="117">
        <f>'Income Statement'!K37*25%</f>
        <v>50463.82916666667</v>
      </c>
      <c r="L23" s="117">
        <f>'Income Statement'!L37*25%</f>
        <v>50363.82916666667</v>
      </c>
      <c r="M23" s="117">
        <f>'Income Statement'!M37*25%</f>
        <v>59474.245833333334</v>
      </c>
      <c r="N23" s="117">
        <f>'Income Statement'!N37*25%</f>
        <v>67781.5375</v>
      </c>
      <c r="O23" s="117">
        <f>'Income Statement'!O37*25%</f>
        <v>67656.5375</v>
      </c>
      <c r="P23" s="41"/>
      <c r="Q23" s="41">
        <f>'Income Statement'!S37*25%</f>
        <v>242734.375</v>
      </c>
      <c r="R23" s="41">
        <f>'Income Statement'!T37*25%</f>
        <v>232515.625</v>
      </c>
      <c r="S23" s="41">
        <f>'Income Statement'!U37*25%</f>
        <v>228937.5</v>
      </c>
      <c r="T23" s="41">
        <f>'Income Statement'!V37*25%</f>
        <v>228937.5</v>
      </c>
      <c r="U23" s="41"/>
      <c r="V23" s="41">
        <f>'Income Statement'!Z37*25%</f>
        <v>285062.5</v>
      </c>
      <c r="W23" s="41">
        <f>'Income Statement'!AA37*25%</f>
        <v>281312.5</v>
      </c>
      <c r="X23" s="41">
        <f>'Income Statement'!AB37*25%</f>
        <v>281562.7875</v>
      </c>
      <c r="Y23" s="41">
        <f>'Income Statement'!AC37*25%</f>
        <v>281562.7875</v>
      </c>
      <c r="Z23" s="41"/>
      <c r="AA23" s="41">
        <f>'Income Statement'!AG37*25%</f>
        <v>327787.7875</v>
      </c>
      <c r="AB23" s="41">
        <f>'Income Statement'!AH37*25%</f>
        <v>324037.7875</v>
      </c>
      <c r="AC23" s="41">
        <f>'Income Statement'!AI37*25%</f>
        <v>324037.7875</v>
      </c>
      <c r="AD23" s="41">
        <f>'Income Statement'!AJ37*25%</f>
        <v>324037.7875</v>
      </c>
      <c r="AE23" s="41"/>
      <c r="AF23" s="41">
        <f>'Income Statement'!AN37*25%</f>
        <v>359100.2875</v>
      </c>
      <c r="AG23" s="41">
        <f>'Income Statement'!AO37*25%</f>
        <v>355350.2875</v>
      </c>
      <c r="AH23" s="41">
        <f>'Income Statement'!AP37*25%</f>
        <v>355350.2875</v>
      </c>
      <c r="AI23" s="41">
        <f>'Income Statement'!AQ37*25%</f>
        <v>355350.2875</v>
      </c>
    </row>
    <row r="24" spans="1:35" ht="12.75">
      <c r="A24" s="1"/>
      <c r="B24" s="10" t="s">
        <v>137</v>
      </c>
      <c r="C24" s="1"/>
      <c r="D24" s="152">
        <v>833.33</v>
      </c>
      <c r="E24" s="117">
        <f>D24+833</f>
        <v>1666.33</v>
      </c>
      <c r="F24" s="117">
        <f>E24+833</f>
        <v>2499.33</v>
      </c>
      <c r="G24" s="117">
        <f>F24+833</f>
        <v>3332.33</v>
      </c>
      <c r="H24" s="117">
        <f>G24+833</f>
        <v>4165.33</v>
      </c>
      <c r="I24" s="158">
        <v>0</v>
      </c>
      <c r="J24" s="158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41"/>
      <c r="Q24" s="41">
        <v>0</v>
      </c>
      <c r="R24" s="41">
        <v>0</v>
      </c>
      <c r="S24" s="41">
        <v>0</v>
      </c>
      <c r="T24" s="41">
        <v>0</v>
      </c>
      <c r="U24" s="41"/>
      <c r="V24" s="41">
        <v>0</v>
      </c>
      <c r="W24" s="41">
        <v>0</v>
      </c>
      <c r="X24" s="41">
        <v>0</v>
      </c>
      <c r="Y24" s="41">
        <v>0</v>
      </c>
      <c r="Z24" s="41"/>
      <c r="AA24" s="41">
        <v>0</v>
      </c>
      <c r="AB24" s="41">
        <v>0</v>
      </c>
      <c r="AC24" s="41">
        <v>0</v>
      </c>
      <c r="AD24" s="41">
        <v>0</v>
      </c>
      <c r="AE24" s="41"/>
      <c r="AF24" s="41">
        <v>0</v>
      </c>
      <c r="AG24" s="41">
        <v>0</v>
      </c>
      <c r="AH24" s="41">
        <v>0</v>
      </c>
      <c r="AI24" s="41">
        <v>0</v>
      </c>
    </row>
    <row r="25" spans="1:35" ht="12.75">
      <c r="A25" s="1"/>
      <c r="B25" s="10" t="s">
        <v>149</v>
      </c>
      <c r="D25" s="153">
        <v>1832921.42</v>
      </c>
      <c r="E25" s="117">
        <f>D25</f>
        <v>1832921.42</v>
      </c>
      <c r="F25" s="117">
        <f aca="true" t="shared" si="4" ref="F25:O25">E25</f>
        <v>1832921.42</v>
      </c>
      <c r="G25" s="117">
        <f t="shared" si="4"/>
        <v>1832921.42</v>
      </c>
      <c r="H25" s="117">
        <f t="shared" si="4"/>
        <v>1832921.42</v>
      </c>
      <c r="I25" s="158">
        <f t="shared" si="4"/>
        <v>1832921.42</v>
      </c>
      <c r="J25" s="158"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117">
        <f t="shared" si="4"/>
        <v>0</v>
      </c>
      <c r="P25" s="41"/>
      <c r="Q25" s="117">
        <f aca="true" t="shared" si="5" ref="Q25:T27">P25</f>
        <v>0</v>
      </c>
      <c r="R25" s="117">
        <f t="shared" si="5"/>
        <v>0</v>
      </c>
      <c r="S25" s="117">
        <f t="shared" si="5"/>
        <v>0</v>
      </c>
      <c r="T25" s="117">
        <f t="shared" si="5"/>
        <v>0</v>
      </c>
      <c r="U25" s="41"/>
      <c r="V25" s="117">
        <f aca="true" t="shared" si="6" ref="V25:Y27">U25</f>
        <v>0</v>
      </c>
      <c r="W25" s="117">
        <f t="shared" si="6"/>
        <v>0</v>
      </c>
      <c r="X25" s="117">
        <f t="shared" si="6"/>
        <v>0</v>
      </c>
      <c r="Y25" s="117">
        <f t="shared" si="6"/>
        <v>0</v>
      </c>
      <c r="Z25" s="41"/>
      <c r="AA25" s="117">
        <f aca="true" t="shared" si="7" ref="AA25:AD27">Z25</f>
        <v>0</v>
      </c>
      <c r="AB25" s="117">
        <f t="shared" si="7"/>
        <v>0</v>
      </c>
      <c r="AC25" s="117">
        <f t="shared" si="7"/>
        <v>0</v>
      </c>
      <c r="AD25" s="117">
        <f t="shared" si="7"/>
        <v>0</v>
      </c>
      <c r="AE25" s="41"/>
      <c r="AF25" s="117">
        <f aca="true" t="shared" si="8" ref="AF25:AI27">AE25</f>
        <v>0</v>
      </c>
      <c r="AG25" s="117">
        <f t="shared" si="8"/>
        <v>0</v>
      </c>
      <c r="AH25" s="117">
        <f t="shared" si="8"/>
        <v>0</v>
      </c>
      <c r="AI25" s="117">
        <f t="shared" si="8"/>
        <v>0</v>
      </c>
    </row>
    <row r="26" spans="1:35" ht="12.75">
      <c r="A26" s="1"/>
      <c r="B26" s="10" t="s">
        <v>150</v>
      </c>
      <c r="D26" s="153">
        <v>125000</v>
      </c>
      <c r="E26" s="117">
        <f>D26</f>
        <v>125000</v>
      </c>
      <c r="F26" s="117">
        <f aca="true" t="shared" si="9" ref="F26:O26">E26</f>
        <v>125000</v>
      </c>
      <c r="G26" s="117">
        <f t="shared" si="9"/>
        <v>125000</v>
      </c>
      <c r="H26" s="117">
        <f t="shared" si="9"/>
        <v>125000</v>
      </c>
      <c r="I26" s="158">
        <f t="shared" si="9"/>
        <v>125000</v>
      </c>
      <c r="J26" s="158">
        <v>0</v>
      </c>
      <c r="K26" s="117">
        <f t="shared" si="9"/>
        <v>0</v>
      </c>
      <c r="L26" s="117">
        <f t="shared" si="9"/>
        <v>0</v>
      </c>
      <c r="M26" s="117">
        <f t="shared" si="9"/>
        <v>0</v>
      </c>
      <c r="N26" s="117">
        <f t="shared" si="9"/>
        <v>0</v>
      </c>
      <c r="O26" s="117">
        <f t="shared" si="9"/>
        <v>0</v>
      </c>
      <c r="P26" s="41"/>
      <c r="Q26" s="117">
        <f t="shared" si="5"/>
        <v>0</v>
      </c>
      <c r="R26" s="117">
        <f t="shared" si="5"/>
        <v>0</v>
      </c>
      <c r="S26" s="117">
        <f t="shared" si="5"/>
        <v>0</v>
      </c>
      <c r="T26" s="117">
        <f t="shared" si="5"/>
        <v>0</v>
      </c>
      <c r="U26" s="41"/>
      <c r="V26" s="117">
        <f t="shared" si="6"/>
        <v>0</v>
      </c>
      <c r="W26" s="117">
        <f t="shared" si="6"/>
        <v>0</v>
      </c>
      <c r="X26" s="117">
        <f t="shared" si="6"/>
        <v>0</v>
      </c>
      <c r="Y26" s="117">
        <f t="shared" si="6"/>
        <v>0</v>
      </c>
      <c r="Z26" s="41"/>
      <c r="AA26" s="117">
        <f t="shared" si="7"/>
        <v>0</v>
      </c>
      <c r="AB26" s="117">
        <f t="shared" si="7"/>
        <v>0</v>
      </c>
      <c r="AC26" s="117">
        <f t="shared" si="7"/>
        <v>0</v>
      </c>
      <c r="AD26" s="117">
        <f t="shared" si="7"/>
        <v>0</v>
      </c>
      <c r="AE26" s="41"/>
      <c r="AF26" s="117">
        <f t="shared" si="8"/>
        <v>0</v>
      </c>
      <c r="AG26" s="117">
        <f t="shared" si="8"/>
        <v>0</v>
      </c>
      <c r="AH26" s="117">
        <f t="shared" si="8"/>
        <v>0</v>
      </c>
      <c r="AI26" s="117">
        <f t="shared" si="8"/>
        <v>0</v>
      </c>
    </row>
    <row r="27" spans="1:35" ht="12.75">
      <c r="A27" s="1"/>
      <c r="B27" s="10" t="s">
        <v>151</v>
      </c>
      <c r="D27" s="153">
        <v>25000</v>
      </c>
      <c r="E27" s="117">
        <f>D27</f>
        <v>25000</v>
      </c>
      <c r="F27" s="117">
        <f aca="true" t="shared" si="10" ref="F27:O27">E27</f>
        <v>25000</v>
      </c>
      <c r="G27" s="117">
        <f t="shared" si="10"/>
        <v>25000</v>
      </c>
      <c r="H27" s="117">
        <f t="shared" si="10"/>
        <v>25000</v>
      </c>
      <c r="I27" s="158">
        <f t="shared" si="10"/>
        <v>25000</v>
      </c>
      <c r="J27" s="158">
        <v>0</v>
      </c>
      <c r="K27" s="117">
        <f t="shared" si="10"/>
        <v>0</v>
      </c>
      <c r="L27" s="117">
        <f t="shared" si="10"/>
        <v>0</v>
      </c>
      <c r="M27" s="117">
        <f t="shared" si="10"/>
        <v>0</v>
      </c>
      <c r="N27" s="117">
        <f t="shared" si="10"/>
        <v>0</v>
      </c>
      <c r="O27" s="117">
        <f t="shared" si="10"/>
        <v>0</v>
      </c>
      <c r="P27" s="41"/>
      <c r="Q27" s="117">
        <f t="shared" si="5"/>
        <v>0</v>
      </c>
      <c r="R27" s="117">
        <f t="shared" si="5"/>
        <v>0</v>
      </c>
      <c r="S27" s="117">
        <f t="shared" si="5"/>
        <v>0</v>
      </c>
      <c r="T27" s="117">
        <f t="shared" si="5"/>
        <v>0</v>
      </c>
      <c r="U27" s="41"/>
      <c r="V27" s="117">
        <f t="shared" si="6"/>
        <v>0</v>
      </c>
      <c r="W27" s="117">
        <f t="shared" si="6"/>
        <v>0</v>
      </c>
      <c r="X27" s="117">
        <f t="shared" si="6"/>
        <v>0</v>
      </c>
      <c r="Y27" s="117">
        <f t="shared" si="6"/>
        <v>0</v>
      </c>
      <c r="Z27" s="41"/>
      <c r="AA27" s="117">
        <f t="shared" si="7"/>
        <v>0</v>
      </c>
      <c r="AB27" s="117">
        <f t="shared" si="7"/>
        <v>0</v>
      </c>
      <c r="AC27" s="117">
        <f t="shared" si="7"/>
        <v>0</v>
      </c>
      <c r="AD27" s="117">
        <f t="shared" si="7"/>
        <v>0</v>
      </c>
      <c r="AE27" s="41"/>
      <c r="AF27" s="117">
        <f t="shared" si="8"/>
        <v>0</v>
      </c>
      <c r="AG27" s="117">
        <f t="shared" si="8"/>
        <v>0</v>
      </c>
      <c r="AH27" s="117">
        <f t="shared" si="8"/>
        <v>0</v>
      </c>
      <c r="AI27" s="117">
        <f t="shared" si="8"/>
        <v>0</v>
      </c>
    </row>
    <row r="28" spans="1:35" ht="12.75">
      <c r="A28" s="1"/>
      <c r="B28" s="10" t="s">
        <v>153</v>
      </c>
      <c r="C28" s="6"/>
      <c r="D28" s="154">
        <v>152693.79</v>
      </c>
      <c r="E28" s="152">
        <f aca="true" t="shared" si="11" ref="E28:I30">D28+(E25*8%)/12</f>
        <v>164913.26613333335</v>
      </c>
      <c r="F28" s="152">
        <f t="shared" si="11"/>
        <v>177132.7422666667</v>
      </c>
      <c r="G28" s="152">
        <f t="shared" si="11"/>
        <v>189352.21840000004</v>
      </c>
      <c r="H28" s="152">
        <f t="shared" si="11"/>
        <v>201571.6945333334</v>
      </c>
      <c r="I28" s="24">
        <f t="shared" si="11"/>
        <v>213791.17066666673</v>
      </c>
      <c r="J28" s="24">
        <v>0</v>
      </c>
      <c r="K28" s="152">
        <f>J28+(J28*8%)/12</f>
        <v>0</v>
      </c>
      <c r="L28" s="152">
        <f>K28+(K28*8%)/12</f>
        <v>0</v>
      </c>
      <c r="M28" s="152">
        <f>L28+(L28*8%)/12</f>
        <v>0</v>
      </c>
      <c r="N28" s="152">
        <f>M28+(M28*8%)/12</f>
        <v>0</v>
      </c>
      <c r="O28" s="152">
        <f>N28+(N28*8%)/12</f>
        <v>0</v>
      </c>
      <c r="P28" s="41"/>
      <c r="Q28" s="152">
        <f aca="true" t="shared" si="12" ref="Q28:T30">P28+(P28*8%)/12</f>
        <v>0</v>
      </c>
      <c r="R28" s="152">
        <f t="shared" si="12"/>
        <v>0</v>
      </c>
      <c r="S28" s="152">
        <f t="shared" si="12"/>
        <v>0</v>
      </c>
      <c r="T28" s="152">
        <f t="shared" si="12"/>
        <v>0</v>
      </c>
      <c r="U28" s="41"/>
      <c r="V28" s="152">
        <f aca="true" t="shared" si="13" ref="V28:Y30">U28+(U28*8%)/12</f>
        <v>0</v>
      </c>
      <c r="W28" s="152">
        <f t="shared" si="13"/>
        <v>0</v>
      </c>
      <c r="X28" s="152">
        <f t="shared" si="13"/>
        <v>0</v>
      </c>
      <c r="Y28" s="152">
        <f t="shared" si="13"/>
        <v>0</v>
      </c>
      <c r="Z28" s="41"/>
      <c r="AA28" s="152">
        <f aca="true" t="shared" si="14" ref="AA28:AD30">Z28+(Z28*8%)/12</f>
        <v>0</v>
      </c>
      <c r="AB28" s="152">
        <f t="shared" si="14"/>
        <v>0</v>
      </c>
      <c r="AC28" s="152">
        <f t="shared" si="14"/>
        <v>0</v>
      </c>
      <c r="AD28" s="152">
        <f t="shared" si="14"/>
        <v>0</v>
      </c>
      <c r="AE28" s="41"/>
      <c r="AF28" s="152">
        <f aca="true" t="shared" si="15" ref="AF28:AI30">AE28+(AE28*8%)/12</f>
        <v>0</v>
      </c>
      <c r="AG28" s="152">
        <f t="shared" si="15"/>
        <v>0</v>
      </c>
      <c r="AH28" s="152">
        <f t="shared" si="15"/>
        <v>0</v>
      </c>
      <c r="AI28" s="152">
        <f t="shared" si="15"/>
        <v>0</v>
      </c>
    </row>
    <row r="29" spans="1:35" ht="12.75">
      <c r="A29" s="1"/>
      <c r="B29" s="10" t="s">
        <v>154</v>
      </c>
      <c r="C29" s="6"/>
      <c r="D29" s="154">
        <v>3444.44</v>
      </c>
      <c r="E29" s="152">
        <f t="shared" si="11"/>
        <v>4277.7733333333335</v>
      </c>
      <c r="F29" s="152">
        <f t="shared" si="11"/>
        <v>5111.106666666667</v>
      </c>
      <c r="G29" s="152">
        <f t="shared" si="11"/>
        <v>5944.44</v>
      </c>
      <c r="H29" s="152">
        <f t="shared" si="11"/>
        <v>6777.773333333333</v>
      </c>
      <c r="I29" s="24">
        <f t="shared" si="11"/>
        <v>7611.106666666666</v>
      </c>
      <c r="J29" s="24">
        <v>0</v>
      </c>
      <c r="K29" s="152">
        <f aca="true" t="shared" si="16" ref="K29:O30">J29+(J29*8%)/12</f>
        <v>0</v>
      </c>
      <c r="L29" s="152">
        <f t="shared" si="16"/>
        <v>0</v>
      </c>
      <c r="M29" s="152">
        <f t="shared" si="16"/>
        <v>0</v>
      </c>
      <c r="N29" s="152">
        <f t="shared" si="16"/>
        <v>0</v>
      </c>
      <c r="O29" s="152">
        <f t="shared" si="16"/>
        <v>0</v>
      </c>
      <c r="P29" s="41"/>
      <c r="Q29" s="152">
        <f t="shared" si="12"/>
        <v>0</v>
      </c>
      <c r="R29" s="152">
        <f t="shared" si="12"/>
        <v>0</v>
      </c>
      <c r="S29" s="152">
        <f t="shared" si="12"/>
        <v>0</v>
      </c>
      <c r="T29" s="152">
        <f t="shared" si="12"/>
        <v>0</v>
      </c>
      <c r="U29" s="41"/>
      <c r="V29" s="152">
        <f t="shared" si="13"/>
        <v>0</v>
      </c>
      <c r="W29" s="152">
        <f t="shared" si="13"/>
        <v>0</v>
      </c>
      <c r="X29" s="152">
        <f t="shared" si="13"/>
        <v>0</v>
      </c>
      <c r="Y29" s="152">
        <f t="shared" si="13"/>
        <v>0</v>
      </c>
      <c r="Z29" s="41"/>
      <c r="AA29" s="152">
        <f t="shared" si="14"/>
        <v>0</v>
      </c>
      <c r="AB29" s="152">
        <f t="shared" si="14"/>
        <v>0</v>
      </c>
      <c r="AC29" s="152">
        <f t="shared" si="14"/>
        <v>0</v>
      </c>
      <c r="AD29" s="152">
        <f t="shared" si="14"/>
        <v>0</v>
      </c>
      <c r="AE29" s="41"/>
      <c r="AF29" s="152">
        <f t="shared" si="15"/>
        <v>0</v>
      </c>
      <c r="AG29" s="152">
        <f t="shared" si="15"/>
        <v>0</v>
      </c>
      <c r="AH29" s="152">
        <f t="shared" si="15"/>
        <v>0</v>
      </c>
      <c r="AI29" s="152">
        <f t="shared" si="15"/>
        <v>0</v>
      </c>
    </row>
    <row r="30" spans="1:35" ht="12.75">
      <c r="A30" s="1"/>
      <c r="B30" s="10" t="s">
        <v>152</v>
      </c>
      <c r="C30" s="6"/>
      <c r="D30" s="152">
        <v>688.89</v>
      </c>
      <c r="E30" s="152">
        <f t="shared" si="11"/>
        <v>855.5566666666666</v>
      </c>
      <c r="F30" s="152">
        <f t="shared" si="11"/>
        <v>1022.2233333333332</v>
      </c>
      <c r="G30" s="152">
        <f t="shared" si="11"/>
        <v>1188.8899999999999</v>
      </c>
      <c r="H30" s="152">
        <f t="shared" si="11"/>
        <v>1355.5566666666666</v>
      </c>
      <c r="I30" s="24">
        <f t="shared" si="11"/>
        <v>1522.2233333333334</v>
      </c>
      <c r="J30" s="24">
        <v>0</v>
      </c>
      <c r="K30" s="152">
        <f t="shared" si="16"/>
        <v>0</v>
      </c>
      <c r="L30" s="152">
        <f t="shared" si="16"/>
        <v>0</v>
      </c>
      <c r="M30" s="152">
        <f t="shared" si="16"/>
        <v>0</v>
      </c>
      <c r="N30" s="152">
        <f t="shared" si="16"/>
        <v>0</v>
      </c>
      <c r="O30" s="152">
        <f t="shared" si="16"/>
        <v>0</v>
      </c>
      <c r="P30" s="41"/>
      <c r="Q30" s="152">
        <f t="shared" si="12"/>
        <v>0</v>
      </c>
      <c r="R30" s="152">
        <f t="shared" si="12"/>
        <v>0</v>
      </c>
      <c r="S30" s="152">
        <f t="shared" si="12"/>
        <v>0</v>
      </c>
      <c r="T30" s="152">
        <f t="shared" si="12"/>
        <v>0</v>
      </c>
      <c r="U30" s="41"/>
      <c r="V30" s="152">
        <f t="shared" si="13"/>
        <v>0</v>
      </c>
      <c r="W30" s="152">
        <f t="shared" si="13"/>
        <v>0</v>
      </c>
      <c r="X30" s="152">
        <f t="shared" si="13"/>
        <v>0</v>
      </c>
      <c r="Y30" s="152">
        <f t="shared" si="13"/>
        <v>0</v>
      </c>
      <c r="Z30" s="41"/>
      <c r="AA30" s="152">
        <f t="shared" si="14"/>
        <v>0</v>
      </c>
      <c r="AB30" s="152">
        <f t="shared" si="14"/>
        <v>0</v>
      </c>
      <c r="AC30" s="152">
        <f t="shared" si="14"/>
        <v>0</v>
      </c>
      <c r="AD30" s="152">
        <f t="shared" si="14"/>
        <v>0</v>
      </c>
      <c r="AE30" s="41"/>
      <c r="AF30" s="152">
        <f t="shared" si="15"/>
        <v>0</v>
      </c>
      <c r="AG30" s="152">
        <f t="shared" si="15"/>
        <v>0</v>
      </c>
      <c r="AH30" s="152">
        <f t="shared" si="15"/>
        <v>0</v>
      </c>
      <c r="AI30" s="152">
        <f t="shared" si="15"/>
        <v>0</v>
      </c>
    </row>
    <row r="31" spans="1:35" s="20" customFormat="1" ht="12.75">
      <c r="A31" s="6"/>
      <c r="B31" s="22" t="s">
        <v>9</v>
      </c>
      <c r="C31" s="1"/>
      <c r="D31" s="127">
        <f>SUM(D23:D30)</f>
        <v>2172030.29</v>
      </c>
      <c r="E31" s="127">
        <f>SUM(E23:E30)</f>
        <v>2181759.8261333336</v>
      </c>
      <c r="F31" s="127">
        <f aca="true" t="shared" si="17" ref="F31:O31">SUM(F23:F30)</f>
        <v>2189342.0305999997</v>
      </c>
      <c r="G31" s="127">
        <f t="shared" si="17"/>
        <v>2203369.506733333</v>
      </c>
      <c r="H31" s="127">
        <f t="shared" si="17"/>
        <v>2217671.9828666667</v>
      </c>
      <c r="I31" s="127">
        <f t="shared" si="17"/>
        <v>2245605.2956666662</v>
      </c>
      <c r="J31" s="127">
        <f t="shared" si="17"/>
        <v>47067.995833333334</v>
      </c>
      <c r="K31" s="127">
        <f t="shared" si="17"/>
        <v>50463.82916666667</v>
      </c>
      <c r="L31" s="127">
        <f t="shared" si="17"/>
        <v>50363.82916666667</v>
      </c>
      <c r="M31" s="127">
        <f t="shared" si="17"/>
        <v>59474.245833333334</v>
      </c>
      <c r="N31" s="127">
        <f t="shared" si="17"/>
        <v>67781.5375</v>
      </c>
      <c r="O31" s="127">
        <f t="shared" si="17"/>
        <v>67656.5375</v>
      </c>
      <c r="P31" s="79"/>
      <c r="Q31" s="127">
        <f>SUM(Q23:Q30)</f>
        <v>242734.375</v>
      </c>
      <c r="R31" s="127">
        <f>SUM(R23:R30)</f>
        <v>232515.625</v>
      </c>
      <c r="S31" s="127">
        <f>SUM(S23:S30)</f>
        <v>228937.5</v>
      </c>
      <c r="T31" s="127">
        <f>SUM(T23:T30)</f>
        <v>228937.5</v>
      </c>
      <c r="U31"/>
      <c r="V31" s="127">
        <f>SUM(V23:V30)</f>
        <v>285062.5</v>
      </c>
      <c r="W31" s="127">
        <f>SUM(W23:W30)</f>
        <v>281312.5</v>
      </c>
      <c r="X31" s="127">
        <f>SUM(X23:X30)</f>
        <v>281562.7875</v>
      </c>
      <c r="Y31" s="127">
        <f>SUM(Y23:Y30)</f>
        <v>281562.7875</v>
      </c>
      <c r="Z31"/>
      <c r="AA31" s="127">
        <f>SUM(AA23:AA30)</f>
        <v>327787.7875</v>
      </c>
      <c r="AB31" s="127">
        <f>SUM(AB23:AB30)</f>
        <v>324037.7875</v>
      </c>
      <c r="AC31" s="127">
        <f>SUM(AC23:AC30)</f>
        <v>324037.7875</v>
      </c>
      <c r="AD31" s="127">
        <f>SUM(AD23:AD30)</f>
        <v>324037.7875</v>
      </c>
      <c r="AE31"/>
      <c r="AF31" s="127">
        <f>SUM(AF23:AF30)</f>
        <v>359100.2875</v>
      </c>
      <c r="AG31" s="127">
        <f>SUM(AG23:AG30)</f>
        <v>355350.2875</v>
      </c>
      <c r="AH31" s="127">
        <f>SUM(AH23:AH30)</f>
        <v>355350.2875</v>
      </c>
      <c r="AI31" s="127">
        <f>SUM(AI23:AI30)</f>
        <v>355350.2875</v>
      </c>
    </row>
    <row r="32" spans="1:35" s="20" customFormat="1" ht="12.75">
      <c r="A32" s="6"/>
      <c r="B32" s="7"/>
      <c r="C32" s="1"/>
      <c r="D32" s="126"/>
      <c r="E32" s="23"/>
      <c r="F32" s="23"/>
      <c r="G32" s="23"/>
      <c r="H32" s="23"/>
      <c r="I32" s="29"/>
      <c r="J32" s="29"/>
      <c r="K32"/>
      <c r="L32"/>
      <c r="M32"/>
      <c r="N32"/>
      <c r="O32"/>
      <c r="P32" s="7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1"/>
      <c r="B33" s="8" t="s">
        <v>138</v>
      </c>
      <c r="C33" s="1"/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29"/>
      <c r="Q33" s="132">
        <v>0</v>
      </c>
      <c r="R33" s="132">
        <v>0</v>
      </c>
      <c r="S33" s="132">
        <v>0</v>
      </c>
      <c r="T33" s="132">
        <v>0</v>
      </c>
      <c r="V33" s="132">
        <v>0</v>
      </c>
      <c r="W33" s="132">
        <v>0</v>
      </c>
      <c r="X33" s="132">
        <v>0</v>
      </c>
      <c r="Y33" s="132">
        <v>0</v>
      </c>
      <c r="AA33" s="132">
        <v>0</v>
      </c>
      <c r="AB33" s="132">
        <v>0</v>
      </c>
      <c r="AC33" s="132">
        <v>0</v>
      </c>
      <c r="AD33" s="132">
        <v>0</v>
      </c>
      <c r="AF33" s="132">
        <v>0</v>
      </c>
      <c r="AG33" s="132">
        <v>0</v>
      </c>
      <c r="AH33" s="132">
        <v>0</v>
      </c>
      <c r="AI33" s="132">
        <v>0</v>
      </c>
    </row>
    <row r="34" spans="2:10" ht="12.75">
      <c r="B34" s="7"/>
      <c r="C34" s="1"/>
      <c r="D34" s="126"/>
      <c r="I34" s="135"/>
      <c r="J34" s="29"/>
    </row>
    <row r="35" spans="2:35" ht="12.75">
      <c r="B35" s="11" t="s">
        <v>10</v>
      </c>
      <c r="C35" s="1"/>
      <c r="D35" s="26">
        <f>D31</f>
        <v>2172030.29</v>
      </c>
      <c r="E35" s="25">
        <f>E31</f>
        <v>2181759.8261333336</v>
      </c>
      <c r="F35" s="25">
        <f aca="true" t="shared" si="18" ref="F35:O35">F31</f>
        <v>2189342.0305999997</v>
      </c>
      <c r="G35" s="25">
        <f t="shared" si="18"/>
        <v>2203369.506733333</v>
      </c>
      <c r="H35" s="25">
        <f t="shared" si="18"/>
        <v>2217671.9828666667</v>
      </c>
      <c r="I35" s="25">
        <f t="shared" si="18"/>
        <v>2245605.2956666662</v>
      </c>
      <c r="J35" s="25">
        <f t="shared" si="18"/>
        <v>47067.995833333334</v>
      </c>
      <c r="K35" s="25">
        <f t="shared" si="18"/>
        <v>50463.82916666667</v>
      </c>
      <c r="L35" s="25">
        <f t="shared" si="18"/>
        <v>50363.82916666667</v>
      </c>
      <c r="M35" s="25">
        <f t="shared" si="18"/>
        <v>59474.245833333334</v>
      </c>
      <c r="N35" s="25">
        <f t="shared" si="18"/>
        <v>67781.5375</v>
      </c>
      <c r="O35" s="25">
        <f t="shared" si="18"/>
        <v>67656.5375</v>
      </c>
      <c r="Q35" s="25">
        <f>Q31</f>
        <v>242734.375</v>
      </c>
      <c r="R35" s="25">
        <f>R31</f>
        <v>232515.625</v>
      </c>
      <c r="S35" s="25">
        <f>S31</f>
        <v>228937.5</v>
      </c>
      <c r="T35" s="25">
        <f>T31</f>
        <v>228937.5</v>
      </c>
      <c r="V35" s="25">
        <f>V31</f>
        <v>285062.5</v>
      </c>
      <c r="W35" s="25">
        <f>W31</f>
        <v>281312.5</v>
      </c>
      <c r="X35" s="25">
        <f>X31</f>
        <v>281562.7875</v>
      </c>
      <c r="Y35" s="25">
        <f>Y31</f>
        <v>281562.7875</v>
      </c>
      <c r="AA35" s="25">
        <f>AA31</f>
        <v>327787.7875</v>
      </c>
      <c r="AB35" s="25">
        <f>AB31</f>
        <v>324037.7875</v>
      </c>
      <c r="AC35" s="25">
        <f>AC31</f>
        <v>324037.7875</v>
      </c>
      <c r="AD35" s="25">
        <f>AD31</f>
        <v>324037.7875</v>
      </c>
      <c r="AF35" s="25">
        <f>AF31</f>
        <v>359100.2875</v>
      </c>
      <c r="AG35" s="25">
        <f>AG31</f>
        <v>355350.2875</v>
      </c>
      <c r="AH35" s="25">
        <f>AH31</f>
        <v>355350.2875</v>
      </c>
      <c r="AI35" s="25">
        <f>AI31</f>
        <v>355350.2875</v>
      </c>
    </row>
    <row r="36" spans="2:10" ht="12.75">
      <c r="B36" s="14"/>
      <c r="C36" s="1"/>
      <c r="D36" s="126"/>
      <c r="I36" s="29"/>
      <c r="J36" s="29"/>
    </row>
    <row r="37" spans="2:10" ht="12.75">
      <c r="B37" s="7" t="s">
        <v>11</v>
      </c>
      <c r="C37" s="1"/>
      <c r="D37" s="126"/>
      <c r="I37" s="29"/>
      <c r="J37" s="29"/>
    </row>
    <row r="38" spans="2:35" ht="12.75">
      <c r="B38" s="8" t="s">
        <v>23</v>
      </c>
      <c r="C38" s="1"/>
      <c r="D38" s="128">
        <v>140734.95</v>
      </c>
      <c r="E38" s="45">
        <f>D38</f>
        <v>140734.95</v>
      </c>
      <c r="F38" s="45">
        <f aca="true" t="shared" si="19" ref="F38:O38">E38</f>
        <v>140734.95</v>
      </c>
      <c r="G38" s="45">
        <f t="shared" si="19"/>
        <v>140734.95</v>
      </c>
      <c r="H38" s="45">
        <f t="shared" si="19"/>
        <v>140734.95</v>
      </c>
      <c r="I38" s="45">
        <f t="shared" si="19"/>
        <v>140734.95</v>
      </c>
      <c r="J38" s="45">
        <f t="shared" si="19"/>
        <v>140734.95</v>
      </c>
      <c r="K38" s="45">
        <f t="shared" si="19"/>
        <v>140734.95</v>
      </c>
      <c r="L38" s="45">
        <f t="shared" si="19"/>
        <v>140734.95</v>
      </c>
      <c r="M38" s="45">
        <f t="shared" si="19"/>
        <v>140734.95</v>
      </c>
      <c r="N38" s="45">
        <f t="shared" si="19"/>
        <v>140734.95</v>
      </c>
      <c r="O38" s="45">
        <f t="shared" si="19"/>
        <v>140734.95</v>
      </c>
      <c r="Q38" s="45">
        <f>O38</f>
        <v>140734.95</v>
      </c>
      <c r="R38" s="45">
        <f aca="true" t="shared" si="20" ref="R38:T40">Q38</f>
        <v>140734.95</v>
      </c>
      <c r="S38" s="45">
        <f t="shared" si="20"/>
        <v>140734.95</v>
      </c>
      <c r="T38" s="45">
        <f t="shared" si="20"/>
        <v>140734.95</v>
      </c>
      <c r="V38" s="45">
        <f>T38</f>
        <v>140734.95</v>
      </c>
      <c r="W38" s="45">
        <f aca="true" t="shared" si="21" ref="W38:Y40">V38</f>
        <v>140734.95</v>
      </c>
      <c r="X38" s="45">
        <f t="shared" si="21"/>
        <v>140734.95</v>
      </c>
      <c r="Y38" s="45">
        <f t="shared" si="21"/>
        <v>140734.95</v>
      </c>
      <c r="AA38" s="45">
        <f>Y38</f>
        <v>140734.95</v>
      </c>
      <c r="AB38" s="45">
        <f aca="true" t="shared" si="22" ref="AB38:AD40">AA38</f>
        <v>140734.95</v>
      </c>
      <c r="AC38" s="45">
        <f t="shared" si="22"/>
        <v>140734.95</v>
      </c>
      <c r="AD38" s="45">
        <f t="shared" si="22"/>
        <v>140734.95</v>
      </c>
      <c r="AF38" s="45">
        <f>AD38</f>
        <v>140734.95</v>
      </c>
      <c r="AG38" s="45">
        <f aca="true" t="shared" si="23" ref="AG38:AI40">AF38</f>
        <v>140734.95</v>
      </c>
      <c r="AH38" s="45">
        <f t="shared" si="23"/>
        <v>140734.95</v>
      </c>
      <c r="AI38" s="45">
        <f t="shared" si="23"/>
        <v>140734.95</v>
      </c>
    </row>
    <row r="39" spans="2:35" ht="12.75">
      <c r="B39" s="8" t="s">
        <v>139</v>
      </c>
      <c r="C39" s="1"/>
      <c r="D39" s="128">
        <v>615960</v>
      </c>
      <c r="E39" s="45">
        <f>D39</f>
        <v>615960</v>
      </c>
      <c r="F39" s="45">
        <f aca="true" t="shared" si="24" ref="F39:O39">E39</f>
        <v>615960</v>
      </c>
      <c r="G39" s="45">
        <f t="shared" si="24"/>
        <v>615960</v>
      </c>
      <c r="H39" s="45">
        <f t="shared" si="24"/>
        <v>615960</v>
      </c>
      <c r="I39" s="45">
        <f t="shared" si="24"/>
        <v>615960</v>
      </c>
      <c r="J39" s="45">
        <f>I39+I25+I26+I27+I28+I29+I30</f>
        <v>2821805.9206666662</v>
      </c>
      <c r="K39" s="45">
        <f t="shared" si="24"/>
        <v>2821805.9206666662</v>
      </c>
      <c r="L39" s="45">
        <f t="shared" si="24"/>
        <v>2821805.9206666662</v>
      </c>
      <c r="M39" s="45">
        <f t="shared" si="24"/>
        <v>2821805.9206666662</v>
      </c>
      <c r="N39" s="45">
        <f t="shared" si="24"/>
        <v>2821805.9206666662</v>
      </c>
      <c r="O39" s="45">
        <f t="shared" si="24"/>
        <v>2821805.9206666662</v>
      </c>
      <c r="Q39" s="45">
        <f>O39</f>
        <v>2821805.9206666662</v>
      </c>
      <c r="R39" s="45">
        <f t="shared" si="20"/>
        <v>2821805.9206666662</v>
      </c>
      <c r="S39" s="45">
        <f t="shared" si="20"/>
        <v>2821805.9206666662</v>
      </c>
      <c r="T39" s="45">
        <f t="shared" si="20"/>
        <v>2821805.9206666662</v>
      </c>
      <c r="V39" s="45">
        <f>T39</f>
        <v>2821805.9206666662</v>
      </c>
      <c r="W39" s="45">
        <f t="shared" si="21"/>
        <v>2821805.9206666662</v>
      </c>
      <c r="X39" s="45">
        <f t="shared" si="21"/>
        <v>2821805.9206666662</v>
      </c>
      <c r="Y39" s="45">
        <f t="shared" si="21"/>
        <v>2821805.9206666662</v>
      </c>
      <c r="AA39" s="45">
        <f>Y39</f>
        <v>2821805.9206666662</v>
      </c>
      <c r="AB39" s="45">
        <f t="shared" si="22"/>
        <v>2821805.9206666662</v>
      </c>
      <c r="AC39" s="45">
        <f t="shared" si="22"/>
        <v>2821805.9206666662</v>
      </c>
      <c r="AD39" s="45">
        <f t="shared" si="22"/>
        <v>2821805.9206666662</v>
      </c>
      <c r="AF39" s="45">
        <f>AD39</f>
        <v>2821805.9206666662</v>
      </c>
      <c r="AG39" s="45">
        <f t="shared" si="23"/>
        <v>2821805.9206666662</v>
      </c>
      <c r="AH39" s="45">
        <f t="shared" si="23"/>
        <v>2821805.9206666662</v>
      </c>
      <c r="AI39" s="45">
        <f t="shared" si="23"/>
        <v>2821805.9206666662</v>
      </c>
    </row>
    <row r="40" spans="2:35" ht="12.75">
      <c r="B40" s="8" t="s">
        <v>24</v>
      </c>
      <c r="C40" s="1"/>
      <c r="D40" s="128">
        <v>-2508901.25</v>
      </c>
      <c r="E40" s="45">
        <f>D40</f>
        <v>-2508901.25</v>
      </c>
      <c r="F40" s="45">
        <f aca="true" t="shared" si="25" ref="F40:O40">E40</f>
        <v>-2508901.25</v>
      </c>
      <c r="G40" s="45">
        <f t="shared" si="25"/>
        <v>-2508901.25</v>
      </c>
      <c r="H40" s="45">
        <f t="shared" si="25"/>
        <v>-2508901.25</v>
      </c>
      <c r="I40" s="45">
        <f>H40</f>
        <v>-2508901.25</v>
      </c>
      <c r="J40" s="45">
        <f t="shared" si="25"/>
        <v>-2508901.25</v>
      </c>
      <c r="K40" s="45">
        <f t="shared" si="25"/>
        <v>-2508901.25</v>
      </c>
      <c r="L40" s="45">
        <f t="shared" si="25"/>
        <v>-2508901.25</v>
      </c>
      <c r="M40" s="45">
        <f t="shared" si="25"/>
        <v>-2508901.25</v>
      </c>
      <c r="N40" s="45">
        <f t="shared" si="25"/>
        <v>-2508901.25</v>
      </c>
      <c r="O40" s="45">
        <f t="shared" si="25"/>
        <v>-2508901.25</v>
      </c>
      <c r="Q40" s="45">
        <f>O40+O41</f>
        <v>-4136801.7953901533</v>
      </c>
      <c r="R40" s="45">
        <f t="shared" si="20"/>
        <v>-4136801.7953901533</v>
      </c>
      <c r="S40" s="45">
        <f t="shared" si="20"/>
        <v>-4136801.7953901533</v>
      </c>
      <c r="T40" s="45">
        <f t="shared" si="20"/>
        <v>-4136801.7953901533</v>
      </c>
      <c r="V40" s="45">
        <f>T40+T41</f>
        <v>-5365219.918830826</v>
      </c>
      <c r="W40" s="45">
        <f t="shared" si="21"/>
        <v>-5365219.918830826</v>
      </c>
      <c r="X40" s="45">
        <f t="shared" si="21"/>
        <v>-5365219.918830826</v>
      </c>
      <c r="Y40" s="45">
        <f t="shared" si="21"/>
        <v>-5365219.918830826</v>
      </c>
      <c r="AA40" s="45">
        <f>Y40+Y41</f>
        <v>-2684382.120799025</v>
      </c>
      <c r="AB40" s="45">
        <f t="shared" si="22"/>
        <v>-2684382.120799025</v>
      </c>
      <c r="AC40" s="45">
        <f t="shared" si="22"/>
        <v>-2684382.120799025</v>
      </c>
      <c r="AD40" s="45">
        <f t="shared" si="22"/>
        <v>-2684382.120799025</v>
      </c>
      <c r="AF40" s="45">
        <f>AD41+AD40</f>
        <v>3852014.933137583</v>
      </c>
      <c r="AG40" s="45">
        <f t="shared" si="23"/>
        <v>3852014.933137583</v>
      </c>
      <c r="AH40" s="45">
        <f t="shared" si="23"/>
        <v>3852014.933137583</v>
      </c>
      <c r="AI40" s="45">
        <f t="shared" si="23"/>
        <v>3852014.933137583</v>
      </c>
    </row>
    <row r="41" spans="2:35" ht="12.75">
      <c r="B41" s="8" t="s">
        <v>2</v>
      </c>
      <c r="C41" s="1"/>
      <c r="D41" s="124">
        <v>-88043.28</v>
      </c>
      <c r="E41" s="45">
        <f>D41+'Income Statement'!E48</f>
        <v>-198801.5554333334</v>
      </c>
      <c r="F41" s="45">
        <f>E41+'Income Statement'!F48</f>
        <v>-308646.5227027779</v>
      </c>
      <c r="G41" s="45">
        <f>F41+'Income Statement'!G48</f>
        <v>-385878.40361106495</v>
      </c>
      <c r="H41" s="45">
        <f>G41+'Income Statement'!H48</f>
        <v>-431597.4162642139</v>
      </c>
      <c r="I41" s="45">
        <f>H41+'Income Statement'!I48</f>
        <v>-618070.4417998104</v>
      </c>
      <c r="J41" s="45">
        <f>I41+'Income Statement'!J48</f>
        <v>-775022.3888475914</v>
      </c>
      <c r="K41" s="45">
        <f>J41+'Income Statement'!K48</f>
        <v>-926088.0031667982</v>
      </c>
      <c r="L41" s="45">
        <f>K41+'Income Statement'!L48</f>
        <v>-1031316.779191796</v>
      </c>
      <c r="M41" s="45">
        <f>L41+'Income Statement'!M48</f>
        <v>-1195615.9975608215</v>
      </c>
      <c r="N41" s="45">
        <f>M41+'Income Statement'!N48</f>
        <v>-1355771.0120125855</v>
      </c>
      <c r="O41" s="45">
        <f>N41+'Income Statement'!O48</f>
        <v>-1627900.5453901535</v>
      </c>
      <c r="Q41" s="45">
        <f>'Income Statement'!S48</f>
        <v>-616184.9809638257</v>
      </c>
      <c r="R41" s="45">
        <f>Q41+'Income Statement'!T48</f>
        <v>-831482.5878794601</v>
      </c>
      <c r="S41" s="45">
        <f>R41+'Income Statement'!U48</f>
        <v>-902455.9394493127</v>
      </c>
      <c r="T41" s="45">
        <f>S41+'Income Statement'!V48</f>
        <v>-1228418.1234406726</v>
      </c>
      <c r="V41" s="45">
        <f>'Income Statement'!Z48</f>
        <v>-66014.07479179202</v>
      </c>
      <c r="W41" s="45">
        <f>V41+'Income Statement'!AA48</f>
        <v>827760.0541560056</v>
      </c>
      <c r="X41" s="45">
        <f>W41+'Income Statement'!AB48</f>
        <v>2057831.8266564135</v>
      </c>
      <c r="Y41" s="45">
        <f>X41+'Income Statement'!AC48</f>
        <v>2680837.798031801</v>
      </c>
      <c r="AA41" s="45">
        <f>'Income Statement'!AG48</f>
        <v>1060069.382556618</v>
      </c>
      <c r="AB41" s="45">
        <f>AA41+'Income Statement'!AH48</f>
        <v>2980470.005735405</v>
      </c>
      <c r="AC41" s="45">
        <f>AB41+'Income Statement'!AI48</f>
        <v>4900235.307505253</v>
      </c>
      <c r="AD41" s="45">
        <f>AC41+'Income Statement'!AJ48</f>
        <v>6536397.053936608</v>
      </c>
      <c r="AF41" s="45">
        <f>'Income Statement'!AN48</f>
        <v>1821400.8688597875</v>
      </c>
      <c r="AG41" s="45">
        <f>AF41+'Income Statement'!AO48</f>
        <v>6487707.654026586</v>
      </c>
      <c r="AH41" s="45">
        <f>AG41+'Income Statement'!AP48</f>
        <v>11153200.059685044</v>
      </c>
      <c r="AI41" s="45">
        <f>AH41+'Income Statement'!AQ48</f>
        <v>13928168.80481058</v>
      </c>
    </row>
    <row r="42" spans="2:35" ht="12.75">
      <c r="B42" s="11" t="s">
        <v>12</v>
      </c>
      <c r="C42" s="1"/>
      <c r="D42" s="133">
        <f aca="true" t="shared" si="26" ref="D42:O42">SUM(D38:D41)</f>
        <v>-1840249.58</v>
      </c>
      <c r="E42" s="25">
        <f t="shared" si="26"/>
        <v>-1951007.8554333334</v>
      </c>
      <c r="F42" s="25">
        <f t="shared" si="26"/>
        <v>-2060852.822702778</v>
      </c>
      <c r="G42" s="25">
        <f t="shared" si="26"/>
        <v>-2138084.703611065</v>
      </c>
      <c r="H42" s="25">
        <f t="shared" si="26"/>
        <v>-2183803.716264214</v>
      </c>
      <c r="I42" s="25">
        <f t="shared" si="26"/>
        <v>-2370276.7417998104</v>
      </c>
      <c r="J42" s="25">
        <f t="shared" si="26"/>
        <v>-321382.76818092493</v>
      </c>
      <c r="K42" s="25">
        <f t="shared" si="26"/>
        <v>-472448.38250013173</v>
      </c>
      <c r="L42" s="25">
        <f t="shared" si="26"/>
        <v>-577677.1585251295</v>
      </c>
      <c r="M42" s="25">
        <f t="shared" si="26"/>
        <v>-741976.376894155</v>
      </c>
      <c r="N42" s="25">
        <f t="shared" si="26"/>
        <v>-902131.3913459191</v>
      </c>
      <c r="O42" s="25">
        <f t="shared" si="26"/>
        <v>-1174260.924723487</v>
      </c>
      <c r="Q42" s="25">
        <f>SUM(Q38:Q41)</f>
        <v>-1790445.9056873126</v>
      </c>
      <c r="R42" s="25">
        <f>SUM(R38:R41)</f>
        <v>-2005743.512602947</v>
      </c>
      <c r="S42" s="25">
        <f>SUM(S38:S41)</f>
        <v>-2076716.8641727995</v>
      </c>
      <c r="T42" s="25">
        <f>SUM(T38:T41)</f>
        <v>-2402679.0481641595</v>
      </c>
      <c r="V42" s="25">
        <f>SUM(V38:V41)</f>
        <v>-2468693.1229559514</v>
      </c>
      <c r="W42" s="25">
        <f>SUM(W38:W41)</f>
        <v>-1574918.994008154</v>
      </c>
      <c r="X42" s="25">
        <f>SUM(X38:X41)</f>
        <v>-344847.221507746</v>
      </c>
      <c r="Y42" s="25">
        <f>SUM(Y38:Y41)</f>
        <v>278158.74986764137</v>
      </c>
      <c r="AA42" s="25">
        <f>SUM(AA38:AA41)</f>
        <v>1338228.1324242593</v>
      </c>
      <c r="AB42" s="25">
        <f>SUM(AB38:AB41)</f>
        <v>3258628.755603046</v>
      </c>
      <c r="AC42" s="25">
        <f>SUM(AC38:AC41)</f>
        <v>5178394.057372894</v>
      </c>
      <c r="AD42" s="25">
        <f>SUM(AD38:AD41)</f>
        <v>6814555.8038042495</v>
      </c>
      <c r="AF42" s="25">
        <f>SUM(AF38:AF41)</f>
        <v>8635956.672664037</v>
      </c>
      <c r="AG42" s="25">
        <f>SUM(AG38:AG41)</f>
        <v>13302263.457830835</v>
      </c>
      <c r="AH42" s="25">
        <f>SUM(AH38:AH41)</f>
        <v>17967755.863489293</v>
      </c>
      <c r="AI42" s="25">
        <f>SUM(AI38:AI41)</f>
        <v>20742724.60861483</v>
      </c>
    </row>
    <row r="43" spans="2:10" ht="12.75">
      <c r="B43" s="7"/>
      <c r="C43" s="1"/>
      <c r="D43" s="24"/>
      <c r="I43" s="29"/>
      <c r="J43" s="29"/>
    </row>
    <row r="44" spans="2:35" ht="12.75">
      <c r="B44" s="11" t="s">
        <v>25</v>
      </c>
      <c r="C44" s="1"/>
      <c r="D44" s="26">
        <f aca="true" t="shared" si="27" ref="D44:O44">D35+D42</f>
        <v>331780.70999999996</v>
      </c>
      <c r="E44" s="26">
        <f t="shared" si="27"/>
        <v>230751.97070000018</v>
      </c>
      <c r="F44" s="26">
        <f t="shared" si="27"/>
        <v>128489.20789722167</v>
      </c>
      <c r="G44" s="26">
        <f t="shared" si="27"/>
        <v>65284.80312226806</v>
      </c>
      <c r="H44" s="26">
        <f t="shared" si="27"/>
        <v>33868.266602452844</v>
      </c>
      <c r="I44" s="26">
        <f t="shared" si="27"/>
        <v>-124671.4461331442</v>
      </c>
      <c r="J44" s="26">
        <f t="shared" si="27"/>
        <v>-274314.7723475916</v>
      </c>
      <c r="K44" s="26">
        <f t="shared" si="27"/>
        <v>-421984.55333346507</v>
      </c>
      <c r="L44" s="26">
        <f t="shared" si="27"/>
        <v>-527313.3293584628</v>
      </c>
      <c r="M44" s="26">
        <f t="shared" si="27"/>
        <v>-682502.1310608217</v>
      </c>
      <c r="N44" s="26">
        <f t="shared" si="27"/>
        <v>-834349.8538459191</v>
      </c>
      <c r="O44" s="26">
        <f t="shared" si="27"/>
        <v>-1106604.387223487</v>
      </c>
      <c r="Q44" s="26">
        <f>Q35+Q42</f>
        <v>-1547711.5306873126</v>
      </c>
      <c r="R44" s="26">
        <f>R35+R42</f>
        <v>-1773227.887602947</v>
      </c>
      <c r="S44" s="26">
        <f>S35+S42</f>
        <v>-1847779.3641727995</v>
      </c>
      <c r="T44" s="26">
        <f>T35+T42</f>
        <v>-2173741.5481641595</v>
      </c>
      <c r="V44" s="26">
        <f>V35+V42</f>
        <v>-2183630.6229559514</v>
      </c>
      <c r="W44" s="26">
        <f>W35+W42</f>
        <v>-1293606.494008154</v>
      </c>
      <c r="X44" s="26">
        <f>X35+X42</f>
        <v>-63284.43400774605</v>
      </c>
      <c r="Y44" s="26">
        <f>Y35+Y42</f>
        <v>559721.5373676413</v>
      </c>
      <c r="AA44" s="26">
        <f>AA35+AA42</f>
        <v>1666015.9199242592</v>
      </c>
      <c r="AB44" s="26">
        <f>AB35+AB42</f>
        <v>3582666.5431030462</v>
      </c>
      <c r="AC44" s="26">
        <f>AC35+AC42</f>
        <v>5502431.844872894</v>
      </c>
      <c r="AD44" s="26">
        <f>AD35+AD42</f>
        <v>7138593.591304249</v>
      </c>
      <c r="AF44" s="26">
        <f>AF35+AF42</f>
        <v>8995056.960164037</v>
      </c>
      <c r="AG44" s="26">
        <f>AG35+AG42</f>
        <v>13657613.745330835</v>
      </c>
      <c r="AH44" s="26">
        <f>AH35+AH42</f>
        <v>18323106.150989294</v>
      </c>
      <c r="AI44" s="26">
        <f>AI35+AI42</f>
        <v>21098074.89611483</v>
      </c>
    </row>
    <row r="45" spans="2:35" s="2" customFormat="1" ht="12.75">
      <c r="B45" s="14"/>
      <c r="C45" s="1"/>
      <c r="D45" s="27"/>
      <c r="E45" s="27"/>
      <c r="F45"/>
      <c r="G45"/>
      <c r="H45"/>
      <c r="I45" s="29"/>
      <c r="J45"/>
      <c r="K45"/>
      <c r="L45"/>
      <c r="M45"/>
      <c r="N45"/>
      <c r="O45"/>
      <c r="Q45"/>
      <c r="R45"/>
      <c r="S45"/>
      <c r="T45"/>
      <c r="U45"/>
      <c r="V45" s="155"/>
      <c r="W45" s="155"/>
      <c r="X45" s="155"/>
      <c r="Y45" s="155"/>
      <c r="Z45"/>
      <c r="AA45"/>
      <c r="AB45"/>
      <c r="AC45"/>
      <c r="AD45"/>
      <c r="AE45"/>
      <c r="AF45"/>
      <c r="AG45"/>
      <c r="AH45"/>
      <c r="AI45"/>
    </row>
    <row r="46" spans="2:35" s="2" customFormat="1" ht="12.75">
      <c r="B46" s="5" t="s">
        <v>91</v>
      </c>
      <c r="C46" s="5"/>
      <c r="D46" s="126">
        <f>D44-D18</f>
        <v>0.00033333332976326346</v>
      </c>
      <c r="E46" s="29">
        <f aca="true" t="shared" si="28" ref="E46:AI46">E44-E18</f>
        <v>0.0003333335625939071</v>
      </c>
      <c r="F46" s="29">
        <f t="shared" si="28"/>
        <v>0.0003333328349981457</v>
      </c>
      <c r="G46" s="29">
        <f t="shared" si="28"/>
        <v>0.00033333295868942514</v>
      </c>
      <c r="H46" s="29">
        <f t="shared" si="28"/>
        <v>0.0003333333588670939</v>
      </c>
      <c r="I46" s="29">
        <f t="shared" si="28"/>
        <v>0.0003333327767904848</v>
      </c>
      <c r="J46" s="29">
        <f t="shared" si="28"/>
        <v>-0.00033333332976326346</v>
      </c>
      <c r="K46" s="29">
        <f t="shared" si="28"/>
        <v>-0.00033333332976326346</v>
      </c>
      <c r="L46" s="29">
        <f t="shared" si="28"/>
        <v>-0.00033333327155560255</v>
      </c>
      <c r="M46" s="29">
        <f t="shared" si="28"/>
        <v>-0.0003333331551402807</v>
      </c>
      <c r="N46" s="29">
        <f t="shared" si="28"/>
        <v>-0.00033333327155560255</v>
      </c>
      <c r="O46" s="29">
        <f t="shared" si="28"/>
        <v>-0.00033333292230963707</v>
      </c>
      <c r="P46" s="23"/>
      <c r="Q46" s="23">
        <f t="shared" si="28"/>
        <v>-0.00033333292230963707</v>
      </c>
      <c r="R46" s="23">
        <f t="shared" si="28"/>
        <v>-0.00033333292230963707</v>
      </c>
      <c r="S46" s="23">
        <f t="shared" si="28"/>
        <v>-0.0003333326894789934</v>
      </c>
      <c r="T46" s="23">
        <f t="shared" si="28"/>
        <v>-0.00033333292230963707</v>
      </c>
      <c r="U46" s="23"/>
      <c r="V46" s="34">
        <f t="shared" si="28"/>
        <v>-0.00033333245664834976</v>
      </c>
      <c r="W46" s="34">
        <f t="shared" si="28"/>
        <v>-0.0003333326894789934</v>
      </c>
      <c r="X46" s="34">
        <f t="shared" si="28"/>
        <v>-0.0003333326894789934</v>
      </c>
      <c r="Y46" s="34">
        <f t="shared" si="28"/>
        <v>-0.0003333326894789934</v>
      </c>
      <c r="Z46" s="23"/>
      <c r="AA46" s="23">
        <f t="shared" si="28"/>
        <v>-0.00033333292230963707</v>
      </c>
      <c r="AB46" s="23">
        <f t="shared" si="28"/>
        <v>-0.00033333245664834976</v>
      </c>
      <c r="AC46" s="23">
        <f t="shared" si="28"/>
        <v>-0.0003333333879709244</v>
      </c>
      <c r="AD46" s="23">
        <f t="shared" si="28"/>
        <v>-0.0003333333879709244</v>
      </c>
      <c r="AE46" s="23"/>
      <c r="AF46" s="23">
        <f t="shared" si="28"/>
        <v>-0.0003333333879709244</v>
      </c>
      <c r="AG46" s="23">
        <f t="shared" si="28"/>
        <v>-0.0003333333879709244</v>
      </c>
      <c r="AH46" s="23">
        <f t="shared" si="28"/>
        <v>-0.00033333152532577515</v>
      </c>
      <c r="AI46" s="23">
        <f t="shared" si="28"/>
        <v>-0.00033333152532577515</v>
      </c>
    </row>
    <row r="47" spans="4:17" ht="12.75">
      <c r="D47" s="23"/>
      <c r="E47" s="23"/>
      <c r="G47" s="23"/>
      <c r="Q47" s="29"/>
    </row>
    <row r="48" spans="2:5" ht="12.75">
      <c r="B48" s="5" t="s">
        <v>55</v>
      </c>
      <c r="D48" s="23"/>
      <c r="E48" s="29"/>
    </row>
    <row r="49" spans="2:16" ht="12.75">
      <c r="B49" s="5" t="s">
        <v>59</v>
      </c>
      <c r="P49" s="29"/>
    </row>
    <row r="50" ht="12.75">
      <c r="B50" s="5" t="s">
        <v>56</v>
      </c>
    </row>
    <row r="52" ht="12.75">
      <c r="B52" s="5" t="s">
        <v>57</v>
      </c>
    </row>
    <row r="53" ht="12.75">
      <c r="B53" s="5" t="s">
        <v>60</v>
      </c>
    </row>
    <row r="54" ht="12.75">
      <c r="B54" s="5" t="s">
        <v>58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&amp;CPage &amp;P&amp;RMobitrac Financials 03 04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AI31"/>
  <sheetViews>
    <sheetView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2" max="2" width="40.57421875" style="0" customWidth="1"/>
    <col min="3" max="3" width="1.8515625" style="0" customWidth="1"/>
    <col min="4" max="4" width="12.57421875" style="0" customWidth="1"/>
    <col min="5" max="5" width="9.7109375" style="0" bestFit="1" customWidth="1"/>
    <col min="6" max="6" width="9.7109375" style="0" customWidth="1"/>
    <col min="7" max="7" width="9.57421875" style="0" customWidth="1"/>
    <col min="8" max="8" width="9.7109375" style="0" bestFit="1" customWidth="1"/>
    <col min="9" max="10" width="11.00390625" style="0" customWidth="1"/>
    <col min="11" max="11" width="10.8515625" style="0" customWidth="1"/>
    <col min="12" max="12" width="10.7109375" style="0" bestFit="1" customWidth="1"/>
    <col min="13" max="13" width="11.00390625" style="0" customWidth="1"/>
    <col min="14" max="14" width="11.28125" style="0" customWidth="1"/>
    <col min="15" max="15" width="11.140625" style="0" customWidth="1"/>
    <col min="16" max="16" width="3.8515625" style="0" customWidth="1"/>
    <col min="17" max="18" width="11.421875" style="0" customWidth="1"/>
    <col min="19" max="19" width="12.28125" style="0" customWidth="1"/>
    <col min="20" max="20" width="11.140625" style="0" customWidth="1"/>
    <col min="21" max="21" width="1.421875" style="0" customWidth="1"/>
    <col min="22" max="22" width="11.8515625" style="0" customWidth="1"/>
    <col min="23" max="23" width="11.28125" style="0" bestFit="1" customWidth="1"/>
    <col min="24" max="25" width="11.421875" style="0" customWidth="1"/>
    <col min="26" max="26" width="1.7109375" style="0" customWidth="1"/>
    <col min="27" max="27" width="11.8515625" style="0" customWidth="1"/>
    <col min="28" max="28" width="11.28125" style="0" bestFit="1" customWidth="1"/>
    <col min="29" max="30" width="11.421875" style="0" customWidth="1"/>
    <col min="31" max="31" width="2.7109375" style="0" customWidth="1"/>
    <col min="32" max="32" width="11.8515625" style="0" customWidth="1"/>
    <col min="33" max="33" width="11.57421875" style="0" customWidth="1"/>
    <col min="34" max="35" width="11.421875" style="0" customWidth="1"/>
  </cols>
  <sheetData>
    <row r="1" spans="2:35" s="4" customFormat="1" ht="13.5" thickBot="1">
      <c r="B1" s="91" t="s">
        <v>155</v>
      </c>
      <c r="C1" s="95"/>
      <c r="D1" s="71">
        <v>38017</v>
      </c>
      <c r="E1" s="71">
        <v>38018</v>
      </c>
      <c r="F1" s="71">
        <v>38047</v>
      </c>
      <c r="G1" s="71">
        <v>38078</v>
      </c>
      <c r="H1" s="71">
        <v>38108</v>
      </c>
      <c r="I1" s="71">
        <v>38139</v>
      </c>
      <c r="J1" s="71">
        <v>38169</v>
      </c>
      <c r="K1" s="71">
        <v>38200</v>
      </c>
      <c r="L1" s="71">
        <v>38231</v>
      </c>
      <c r="M1" s="71">
        <v>38261</v>
      </c>
      <c r="N1" s="71">
        <v>38292</v>
      </c>
      <c r="O1" s="71">
        <v>38322</v>
      </c>
      <c r="Q1" s="72" t="s">
        <v>29</v>
      </c>
      <c r="R1" s="72" t="s">
        <v>30</v>
      </c>
      <c r="S1" s="72" t="s">
        <v>31</v>
      </c>
      <c r="T1" s="72" t="s">
        <v>32</v>
      </c>
      <c r="U1" s="28"/>
      <c r="V1" s="72" t="s">
        <v>34</v>
      </c>
      <c r="W1" s="72" t="s">
        <v>35</v>
      </c>
      <c r="X1" s="72" t="s">
        <v>36</v>
      </c>
      <c r="Y1" s="72" t="s">
        <v>37</v>
      </c>
      <c r="Z1" s="28"/>
      <c r="AA1" s="72" t="s">
        <v>120</v>
      </c>
      <c r="AB1" s="72" t="s">
        <v>121</v>
      </c>
      <c r="AC1" s="72" t="s">
        <v>122</v>
      </c>
      <c r="AD1" s="72" t="s">
        <v>123</v>
      </c>
      <c r="AE1" s="28"/>
      <c r="AF1" s="72" t="s">
        <v>126</v>
      </c>
      <c r="AG1" s="72" t="s">
        <v>127</v>
      </c>
      <c r="AH1" s="72" t="s">
        <v>128</v>
      </c>
      <c r="AI1" s="72" t="s">
        <v>129</v>
      </c>
    </row>
    <row r="2" spans="2:3" ht="12.75">
      <c r="B2" s="81"/>
      <c r="C2" s="30"/>
    </row>
    <row r="3" spans="2:3" ht="12.75">
      <c r="B3" s="82" t="s">
        <v>64</v>
      </c>
      <c r="C3" s="92"/>
    </row>
    <row r="4" spans="2:35" ht="12.75">
      <c r="B4" s="83" t="s">
        <v>65</v>
      </c>
      <c r="C4" s="29"/>
      <c r="D4" s="29">
        <f>'Income Statement'!D48</f>
        <v>-96946.81333333334</v>
      </c>
      <c r="E4" s="29">
        <f>'Income Statement'!E48</f>
        <v>-110758.27543333337</v>
      </c>
      <c r="F4" s="29">
        <f>'Income Statement'!F48</f>
        <v>-109844.96726944447</v>
      </c>
      <c r="G4" s="29">
        <f>'Income Statement'!G48</f>
        <v>-77231.88090828707</v>
      </c>
      <c r="H4" s="29">
        <f>'Income Statement'!H48</f>
        <v>-45719.01265314895</v>
      </c>
      <c r="I4" s="29">
        <f>'Income Statement'!I48</f>
        <v>-186473.02553559648</v>
      </c>
      <c r="J4" s="29">
        <f>'Income Statement'!J48</f>
        <v>-156951.94704778094</v>
      </c>
      <c r="K4" s="29">
        <f>'Income Statement'!K48</f>
        <v>-151065.61431920683</v>
      </c>
      <c r="L4" s="29">
        <f>'Income Statement'!L48</f>
        <v>-105228.77602499783</v>
      </c>
      <c r="M4" s="29">
        <f>'Income Statement'!M48</f>
        <v>-164299.21836902562</v>
      </c>
      <c r="N4" s="29">
        <f>'Income Statement'!N48</f>
        <v>-160155.01445176412</v>
      </c>
      <c r="O4" s="29">
        <f>'Income Statement'!O48</f>
        <v>-272129.53337756806</v>
      </c>
      <c r="Q4" s="29">
        <f>'Income Statement'!S48</f>
        <v>-616184.9809638257</v>
      </c>
      <c r="R4" s="29">
        <f>'Income Statement'!T48</f>
        <v>-215297.6069156344</v>
      </c>
      <c r="S4" s="29">
        <f>'Income Statement'!U48</f>
        <v>-70973.35156985266</v>
      </c>
      <c r="T4" s="29">
        <f>'Income Statement'!V48</f>
        <v>-325962.18399136</v>
      </c>
      <c r="U4" s="29"/>
      <c r="V4" s="29">
        <f>'Income Statement'!Z48</f>
        <v>-66014.07479179202</v>
      </c>
      <c r="W4" s="29">
        <f>'Income Statement'!AA48</f>
        <v>893774.1289477976</v>
      </c>
      <c r="X4" s="29">
        <f>'Income Statement'!AB48</f>
        <v>1230071.7725004079</v>
      </c>
      <c r="Y4" s="29">
        <f>'Income Statement'!AC48</f>
        <v>623005.9713753874</v>
      </c>
      <c r="Z4" s="29"/>
      <c r="AA4" s="29">
        <f>'Income Statement'!AG48</f>
        <v>1060069.382556618</v>
      </c>
      <c r="AB4" s="29">
        <f>'Income Statement'!AH48</f>
        <v>1920400.623178787</v>
      </c>
      <c r="AC4" s="29">
        <f>'Income Statement'!AI48</f>
        <v>1919765.3017698477</v>
      </c>
      <c r="AD4" s="29">
        <f>'Income Statement'!AJ48</f>
        <v>1636161.7464313554</v>
      </c>
      <c r="AE4" s="29"/>
      <c r="AF4" s="29">
        <f>'Income Statement'!AN48</f>
        <v>1821400.8688597875</v>
      </c>
      <c r="AG4" s="29">
        <f>'Income Statement'!AO48</f>
        <v>4666306.785166798</v>
      </c>
      <c r="AH4" s="29">
        <f>'Income Statement'!AP48</f>
        <v>4665492.405658458</v>
      </c>
      <c r="AI4" s="29">
        <f>'Income Statement'!AQ48</f>
        <v>2774968.7451255354</v>
      </c>
    </row>
    <row r="5" spans="2:35" ht="12.75">
      <c r="B5" s="83" t="s">
        <v>66</v>
      </c>
      <c r="C5" s="29"/>
      <c r="D5" s="29">
        <v>0</v>
      </c>
      <c r="E5" s="29">
        <f>'Income Statement'!E43</f>
        <v>798.4898333333333</v>
      </c>
      <c r="F5" s="29">
        <f>'Income Statement'!F43</f>
        <v>785.1816694444444</v>
      </c>
      <c r="G5" s="29">
        <f>'Income Statement'!G43</f>
        <v>772.095308287037</v>
      </c>
      <c r="H5" s="29">
        <f>'Income Statement'!H43</f>
        <v>759.2270531489197</v>
      </c>
      <c r="I5" s="29">
        <f>'Income Statement'!I43</f>
        <v>996.5732689297711</v>
      </c>
      <c r="J5" s="29">
        <f>'Income Statement'!J43</f>
        <v>1179.9637144476083</v>
      </c>
      <c r="K5" s="29">
        <f>'Income Statement'!K43</f>
        <v>1210.297652540148</v>
      </c>
      <c r="L5" s="29">
        <f>'Income Statement'!L43</f>
        <v>1273.4593583311457</v>
      </c>
      <c r="M5" s="29">
        <f>'Income Statement'!M43</f>
        <v>1402.2350356922932</v>
      </c>
      <c r="N5" s="29">
        <f>'Income Statement'!N43</f>
        <v>1528.8644517640882</v>
      </c>
      <c r="O5" s="29">
        <f>'Income Statement'!O43</f>
        <v>1503.38337756802</v>
      </c>
      <c r="Q5" s="29">
        <f>'Income Statement'!S43</f>
        <v>5247.480963825658</v>
      </c>
      <c r="R5" s="29">
        <f>'Income Statement'!T43</f>
        <v>5235.106915634376</v>
      </c>
      <c r="S5" s="29">
        <f>'Income Statement'!U43</f>
        <v>5223.351569852657</v>
      </c>
      <c r="T5" s="29">
        <f>'Income Statement'!V43</f>
        <v>5212.183991360024</v>
      </c>
      <c r="U5" s="29"/>
      <c r="V5" s="29">
        <f>'Income Statement'!Z43</f>
        <v>5764.074791792023</v>
      </c>
      <c r="W5" s="29">
        <f>'Income Statement'!AA43</f>
        <v>5975.871052202421</v>
      </c>
      <c r="X5" s="29">
        <f>'Income Statement'!AB43</f>
        <v>6177.0774995923</v>
      </c>
      <c r="Y5" s="29">
        <f>'Income Statement'!AC43</f>
        <v>6118.223624612686</v>
      </c>
      <c r="Z5" s="29"/>
      <c r="AA5" s="29">
        <f>'Income Statement'!AG43</f>
        <v>6624.812443382051</v>
      </c>
      <c r="AB5" s="29">
        <f>'Income Statement'!AH43</f>
        <v>7293.571821212949</v>
      </c>
      <c r="AC5" s="29">
        <f>'Income Statement'!AI43</f>
        <v>7928.893230152302</v>
      </c>
      <c r="AD5" s="29">
        <f>'Income Statement'!AJ43</f>
        <v>8032.448568644686</v>
      </c>
      <c r="AE5" s="29"/>
      <c r="AF5" s="29">
        <f>'Income Statement'!AN43</f>
        <v>8118.326140212451</v>
      </c>
      <c r="AG5" s="29">
        <f>'Income Statement'!AO43</f>
        <v>8712.40983320183</v>
      </c>
      <c r="AH5" s="29">
        <f>'Income Statement'!AP43</f>
        <v>9526.789341541738</v>
      </c>
      <c r="AI5" s="29">
        <f>'Income Statement'!AQ43</f>
        <v>10050.449874464652</v>
      </c>
    </row>
    <row r="6" spans="2:35" ht="12.75">
      <c r="B6" s="83" t="s">
        <v>67</v>
      </c>
      <c r="C6" s="29"/>
      <c r="D6" s="29">
        <v>-5020.107</v>
      </c>
      <c r="E6" s="29">
        <f>'Balance Sheet'!D6-'Balance Sheet'!E6</f>
        <v>7924.34</v>
      </c>
      <c r="F6" s="29">
        <f>'Balance Sheet'!E6-'Balance Sheet'!F6</f>
        <v>15000</v>
      </c>
      <c r="G6" s="29">
        <f>'Balance Sheet'!F6-'Balance Sheet'!G6</f>
        <v>0</v>
      </c>
      <c r="H6" s="29">
        <f>'Balance Sheet'!G6-'Balance Sheet'!H6</f>
        <v>-32500</v>
      </c>
      <c r="I6" s="29">
        <f>'Balance Sheet'!H6-'Balance Sheet'!I6</f>
        <v>-32500</v>
      </c>
      <c r="J6" s="29">
        <f>'Balance Sheet'!I6-'Balance Sheet'!J6</f>
        <v>65000</v>
      </c>
      <c r="K6" s="29">
        <f>'Balance Sheet'!J6-'Balance Sheet'!K6</f>
        <v>-32500</v>
      </c>
      <c r="L6" s="29">
        <f>'Balance Sheet'!K6-'Balance Sheet'!L6</f>
        <v>-19500</v>
      </c>
      <c r="M6" s="29">
        <f>'Balance Sheet'!L6-'Balance Sheet'!M6</f>
        <v>-45500</v>
      </c>
      <c r="N6" s="29">
        <f>'Balance Sheet'!M6-'Balance Sheet'!N6</f>
        <v>22500</v>
      </c>
      <c r="O6" s="29">
        <f>'Balance Sheet'!N6-'Balance Sheet'!O6</f>
        <v>-37500</v>
      </c>
      <c r="P6" s="29"/>
      <c r="Q6" s="29">
        <f>'Balance Sheet'!O6-'Balance Sheet'!Q6</f>
        <v>-67500</v>
      </c>
      <c r="R6" s="29">
        <f>'Balance Sheet'!Q6-'Balance Sheet'!R6</f>
        <v>-180000</v>
      </c>
      <c r="S6" s="29">
        <f>'Balance Sheet'!R6-'Balance Sheet'!S6</f>
        <v>-65000</v>
      </c>
      <c r="T6" s="29">
        <f>'Balance Sheet'!S6-'Balance Sheet'!T6</f>
        <v>127500</v>
      </c>
      <c r="U6" s="29"/>
      <c r="V6" s="29">
        <f>'Balance Sheet'!T6-'Balance Sheet'!V6</f>
        <v>-242500</v>
      </c>
      <c r="W6" s="29">
        <f>'Balance Sheet'!V6-'Balance Sheet'!W6</f>
        <v>-472500</v>
      </c>
      <c r="X6" s="29">
        <f>'Balance Sheet'!W6-'Balance Sheet'!X6</f>
        <v>-168750</v>
      </c>
      <c r="Y6" s="29">
        <f>'Balance Sheet'!X6-'Balance Sheet'!Y6</f>
        <v>168750</v>
      </c>
      <c r="Z6" s="29"/>
      <c r="AA6" s="29">
        <f>'Balance Sheet'!Y6-'Balance Sheet'!AA6</f>
        <v>-405000</v>
      </c>
      <c r="AB6" s="29">
        <f>'Balance Sheet'!AA6-'Balance Sheet'!AB6</f>
        <v>-607500</v>
      </c>
      <c r="AC6" s="140">
        <f>'Balance Sheet'!AB6-'Balance Sheet'!AC6</f>
        <v>0</v>
      </c>
      <c r="AD6" s="29">
        <f>'Balance Sheet'!AC6-'Balance Sheet'!AD6</f>
        <v>202500</v>
      </c>
      <c r="AE6" s="29"/>
      <c r="AF6" s="29">
        <f>'Balance Sheet'!AD6-'Balance Sheet'!AF6</f>
        <v>-202500</v>
      </c>
      <c r="AG6" s="29">
        <f>'Balance Sheet'!AF6-'Balance Sheet'!AG6</f>
        <v>-2025000</v>
      </c>
      <c r="AH6" s="140">
        <f>'Balance Sheet'!AG6-'Balance Sheet'!AH6</f>
        <v>0</v>
      </c>
      <c r="AI6" s="29">
        <f>'Balance Sheet'!AH6-'Balance Sheet'!AI6</f>
        <v>1350000</v>
      </c>
    </row>
    <row r="7" spans="2:35" ht="12.75">
      <c r="B7" s="83" t="s">
        <v>68</v>
      </c>
      <c r="C7" s="29"/>
      <c r="D7" s="29">
        <v>0</v>
      </c>
      <c r="E7" s="29">
        <f>'Balance Sheet'!E23-'Balance Sheet'!D23</f>
        <v>-4322.939999999999</v>
      </c>
      <c r="F7" s="29">
        <f>'Balance Sheet'!F23-'Balance Sheet'!E23</f>
        <v>-6470.271666666664</v>
      </c>
      <c r="G7" s="29">
        <f>'Balance Sheet'!G23-'Balance Sheet'!F23</f>
        <v>-25</v>
      </c>
      <c r="H7" s="29">
        <f>'Balance Sheet'!H23-'Balance Sheet'!G23</f>
        <v>250</v>
      </c>
      <c r="I7" s="29">
        <f>'Balance Sheet'!I23-'Balance Sheet'!H23</f>
        <v>18879.166666666664</v>
      </c>
      <c r="J7" s="29">
        <f>'Balance Sheet'!J23-'Balance Sheet'!I23</f>
        <v>7308.620833333334</v>
      </c>
      <c r="K7" s="29">
        <f>'Balance Sheet'!K23-'Balance Sheet'!J23</f>
        <v>3395.8333333333358</v>
      </c>
      <c r="L7" s="29">
        <f>'Balance Sheet'!L23-'Balance Sheet'!K23</f>
        <v>-100</v>
      </c>
      <c r="M7" s="29">
        <f>'Balance Sheet'!M23-'Balance Sheet'!L23</f>
        <v>9110.416666666664</v>
      </c>
      <c r="N7" s="29">
        <f>'Balance Sheet'!N23-'Balance Sheet'!M23</f>
        <v>8307.291666666672</v>
      </c>
      <c r="O7" s="29">
        <f>'Balance Sheet'!O23-'Balance Sheet'!N23</f>
        <v>-125</v>
      </c>
      <c r="Q7" s="29">
        <f>'Balance Sheet'!Q23-'Balance Sheet'!O23</f>
        <v>175077.8375</v>
      </c>
      <c r="R7" s="29">
        <f>'Balance Sheet'!R23-'Balance Sheet'!Q23</f>
        <v>-10218.75</v>
      </c>
      <c r="S7" s="29">
        <f>'Balance Sheet'!S23-'Balance Sheet'!R23</f>
        <v>-3578.125</v>
      </c>
      <c r="T7" s="29">
        <f>'Balance Sheet'!T23-'Balance Sheet'!S23</f>
        <v>0</v>
      </c>
      <c r="U7" s="29"/>
      <c r="V7" s="29">
        <f>'Balance Sheet'!V23-'Balance Sheet'!T23</f>
        <v>56125</v>
      </c>
      <c r="W7" s="29">
        <f>'Balance Sheet'!W23-'Balance Sheet'!V23</f>
        <v>-3750</v>
      </c>
      <c r="X7" s="29">
        <f>'Balance Sheet'!X23-'Balance Sheet'!W23</f>
        <v>250.28749999997672</v>
      </c>
      <c r="Y7" s="29">
        <f>'Balance Sheet'!Y23-'Balance Sheet'!X23</f>
        <v>0</v>
      </c>
      <c r="Z7" s="29"/>
      <c r="AA7" s="29">
        <f>'Balance Sheet'!AA23-'Balance Sheet'!Y23</f>
        <v>46225</v>
      </c>
      <c r="AB7" s="29">
        <f>'Balance Sheet'!AB23-'Balance Sheet'!AA23</f>
        <v>-3750</v>
      </c>
      <c r="AC7" s="29">
        <f>'Balance Sheet'!AC23-'Balance Sheet'!AB23</f>
        <v>0</v>
      </c>
      <c r="AD7" s="29">
        <f>'Balance Sheet'!AD23-'Balance Sheet'!AC23</f>
        <v>0</v>
      </c>
      <c r="AE7" s="29"/>
      <c r="AF7" s="29">
        <f>'Balance Sheet'!AF23-'Balance Sheet'!AD23</f>
        <v>35062.5</v>
      </c>
      <c r="AG7" s="29">
        <f>'Balance Sheet'!AG23-'Balance Sheet'!AF23</f>
        <v>-3750</v>
      </c>
      <c r="AH7" s="29">
        <f>'Balance Sheet'!AH23-'Balance Sheet'!AG23</f>
        <v>0</v>
      </c>
      <c r="AI7" s="29">
        <f>'Balance Sheet'!AI23-'Balance Sheet'!AH23</f>
        <v>0</v>
      </c>
    </row>
    <row r="8" spans="2:35" ht="12.75">
      <c r="B8" s="84" t="s">
        <v>69</v>
      </c>
      <c r="C8" s="29"/>
      <c r="D8" s="96">
        <f>SUM(D4:D7)</f>
        <v>-101966.92033333334</v>
      </c>
      <c r="E8" s="96">
        <f aca="true" t="shared" si="0" ref="E8:O8">SUM(E4:E7)</f>
        <v>-106358.38560000004</v>
      </c>
      <c r="F8" s="96">
        <f t="shared" si="0"/>
        <v>-100530.0572666667</v>
      </c>
      <c r="G8" s="96">
        <f t="shared" si="0"/>
        <v>-76484.78560000003</v>
      </c>
      <c r="H8" s="96">
        <f t="shared" si="0"/>
        <v>-77209.78560000003</v>
      </c>
      <c r="I8" s="96">
        <f t="shared" si="0"/>
        <v>-199097.28560000006</v>
      </c>
      <c r="J8" s="96">
        <f t="shared" si="0"/>
        <v>-83463.3625</v>
      </c>
      <c r="K8" s="96">
        <f t="shared" si="0"/>
        <v>-178959.48333333334</v>
      </c>
      <c r="L8" s="96">
        <f t="shared" si="0"/>
        <v>-123555.31666666668</v>
      </c>
      <c r="M8" s="96">
        <f t="shared" si="0"/>
        <v>-199286.56666666668</v>
      </c>
      <c r="N8" s="96">
        <f t="shared" si="0"/>
        <v>-127818.85833333335</v>
      </c>
      <c r="O8" s="96">
        <f t="shared" si="0"/>
        <v>-308251.15</v>
      </c>
      <c r="Q8" s="96">
        <f>SUM(Q4:Q7)</f>
        <v>-503359.6625</v>
      </c>
      <c r="R8" s="96">
        <f>SUM(R4:R7)</f>
        <v>-400281.25</v>
      </c>
      <c r="S8" s="96">
        <f>SUM(S4:S7)</f>
        <v>-134328.125</v>
      </c>
      <c r="T8" s="96">
        <f>SUM(T4:T7)</f>
        <v>-193250</v>
      </c>
      <c r="U8" s="29"/>
      <c r="V8" s="96">
        <f>SUM(V4:V7)</f>
        <v>-246625</v>
      </c>
      <c r="W8" s="96">
        <f>SUM(W4:W7)</f>
        <v>423500</v>
      </c>
      <c r="X8" s="96">
        <f>SUM(X4:X7)</f>
        <v>1067749.1375000002</v>
      </c>
      <c r="Y8" s="96">
        <f>SUM(Y4:Y7)</f>
        <v>797874.1950000001</v>
      </c>
      <c r="Z8" s="29"/>
      <c r="AA8" s="96">
        <f>SUM(AA4:AA7)</f>
        <v>707919.1950000001</v>
      </c>
      <c r="AB8" s="96">
        <f>SUM(AB4:AB7)</f>
        <v>1316444.195</v>
      </c>
      <c r="AC8" s="96">
        <f>SUM(AC4:AC7)</f>
        <v>1927694.195</v>
      </c>
      <c r="AD8" s="96">
        <f>SUM(AD4:AD7)</f>
        <v>1846694.195</v>
      </c>
      <c r="AE8" s="29"/>
      <c r="AF8" s="96">
        <f>SUM(AF4:AF7)</f>
        <v>1662081.6949999998</v>
      </c>
      <c r="AG8" s="96">
        <f>SUM(AG4:AG7)</f>
        <v>2646269.1950000003</v>
      </c>
      <c r="AH8" s="96">
        <f>SUM(AH4:AH7)</f>
        <v>4675019.195</v>
      </c>
      <c r="AI8" s="96">
        <f>SUM(AI4:AI7)</f>
        <v>4135019.195</v>
      </c>
    </row>
    <row r="9" ht="12.75">
      <c r="B9" s="81"/>
    </row>
    <row r="10" spans="2:4" ht="12.75">
      <c r="B10" s="82" t="s">
        <v>70</v>
      </c>
      <c r="D10" s="29"/>
    </row>
    <row r="11" spans="2:35" ht="12.75">
      <c r="B11" s="85" t="s">
        <v>71</v>
      </c>
      <c r="C11" s="29"/>
      <c r="D11" s="140">
        <f>-'Income Statement'!D50</f>
        <v>0</v>
      </c>
      <c r="E11" s="140">
        <f>-'Income Statement'!E50</f>
        <v>0</v>
      </c>
      <c r="F11" s="140">
        <f>-'Income Statement'!F50</f>
        <v>0</v>
      </c>
      <c r="G11" s="140">
        <f>-'Income Statement'!G50</f>
        <v>0</v>
      </c>
      <c r="H11" s="140">
        <f>-'Income Statement'!H50</f>
        <v>0</v>
      </c>
      <c r="I11" s="29">
        <f>-'Income Statement'!I50</f>
        <v>-15000</v>
      </c>
      <c r="J11" s="29">
        <f>-'Income Statement'!J50</f>
        <v>-17000</v>
      </c>
      <c r="K11" s="29">
        <f>-'Income Statement'!K50</f>
        <v>-3000</v>
      </c>
      <c r="L11" s="29">
        <f>-'Income Statement'!L50</f>
        <v>-5000</v>
      </c>
      <c r="M11" s="29">
        <f>-'Income Statement'!M50</f>
        <v>-9000</v>
      </c>
      <c r="N11" s="29">
        <f>-'Income Statement'!N50</f>
        <v>-14000</v>
      </c>
      <c r="O11" s="140">
        <f>-'Income Statement'!O50</f>
        <v>0</v>
      </c>
      <c r="P11" s="29"/>
      <c r="Q11" s="29">
        <f>-'Income Statement'!S50</f>
        <v>-16250</v>
      </c>
      <c r="R11" s="29">
        <f>-'Income Statement'!T50</f>
        <v>-5000</v>
      </c>
      <c r="S11" s="29">
        <f>-'Income Statement'!U50</f>
        <v>-5000</v>
      </c>
      <c r="T11" s="29">
        <f>-'Income Statement'!V50</f>
        <v>-10000</v>
      </c>
      <c r="U11" s="29"/>
      <c r="V11" s="29">
        <f>-'Income Statement'!Z50</f>
        <v>-16250</v>
      </c>
      <c r="W11" s="29">
        <f>-'Income Statement'!AA50</f>
        <v>-10000</v>
      </c>
      <c r="X11" s="29">
        <f>-'Income Statement'!AB50</f>
        <v>-10000</v>
      </c>
      <c r="Y11" s="29">
        <f>-'Income Statement'!AC50</f>
        <v>-5000</v>
      </c>
      <c r="Z11" s="29"/>
      <c r="AA11" s="29">
        <f>-'Income Statement'!AG50</f>
        <v>-16250</v>
      </c>
      <c r="AB11" s="29">
        <f>-'Income Statement'!AH50</f>
        <v>-20000</v>
      </c>
      <c r="AC11" s="29">
        <f>-'Income Statement'!AI50</f>
        <v>-20000</v>
      </c>
      <c r="AD11" s="29">
        <f>-'Income Statement'!AJ50</f>
        <v>-10000</v>
      </c>
      <c r="AE11" s="29"/>
      <c r="AF11" s="29">
        <f>-'Income Statement'!AN50</f>
        <v>-9750</v>
      </c>
      <c r="AG11" s="29">
        <f>-'Income Statement'!AO50</f>
        <v>-20000</v>
      </c>
      <c r="AH11" s="29">
        <f>-'Income Statement'!AP50</f>
        <v>-25000</v>
      </c>
      <c r="AI11" s="29">
        <f>-'Income Statement'!AQ50</f>
        <v>-20000</v>
      </c>
    </row>
    <row r="12" spans="2:35" ht="12.75">
      <c r="B12" s="83" t="s">
        <v>54</v>
      </c>
      <c r="C12" s="36"/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Q12" s="29"/>
      <c r="R12" s="29"/>
      <c r="S12" s="29"/>
      <c r="T12" s="29"/>
      <c r="V12" s="29"/>
      <c r="W12" s="29"/>
      <c r="X12" s="29"/>
      <c r="Y12" s="29"/>
      <c r="AA12" s="29"/>
      <c r="AB12" s="29"/>
      <c r="AC12" s="29"/>
      <c r="AD12" s="29"/>
      <c r="AF12" s="29"/>
      <c r="AG12" s="29"/>
      <c r="AH12" s="29"/>
      <c r="AI12" s="29"/>
    </row>
    <row r="13" spans="2:35" ht="12.75">
      <c r="B13" s="84" t="s">
        <v>72</v>
      </c>
      <c r="C13" s="93"/>
      <c r="D13" s="149">
        <f>SUM(D11:D12)</f>
        <v>0</v>
      </c>
      <c r="E13" s="149">
        <f aca="true" t="shared" si="1" ref="E13:O13">SUM(E11:E12)</f>
        <v>0</v>
      </c>
      <c r="F13" s="149">
        <f t="shared" si="1"/>
        <v>0</v>
      </c>
      <c r="G13" s="149">
        <f t="shared" si="1"/>
        <v>0</v>
      </c>
      <c r="H13" s="149">
        <f t="shared" si="1"/>
        <v>0</v>
      </c>
      <c r="I13" s="96">
        <f t="shared" si="1"/>
        <v>-15000</v>
      </c>
      <c r="J13" s="96">
        <f t="shared" si="1"/>
        <v>-17000</v>
      </c>
      <c r="K13" s="96">
        <f t="shared" si="1"/>
        <v>-3000</v>
      </c>
      <c r="L13" s="96">
        <f t="shared" si="1"/>
        <v>-5000</v>
      </c>
      <c r="M13" s="96">
        <f t="shared" si="1"/>
        <v>-9000</v>
      </c>
      <c r="N13" s="96">
        <f t="shared" si="1"/>
        <v>-14000</v>
      </c>
      <c r="O13" s="96">
        <f t="shared" si="1"/>
        <v>0</v>
      </c>
      <c r="Q13" s="96">
        <f>SUM(Q11:Q12)</f>
        <v>-16250</v>
      </c>
      <c r="R13" s="96">
        <f>SUM(R11:R12)</f>
        <v>-5000</v>
      </c>
      <c r="S13" s="96">
        <f>SUM(S11:S12)</f>
        <v>-5000</v>
      </c>
      <c r="T13" s="96">
        <f>SUM(T11:T12)</f>
        <v>-10000</v>
      </c>
      <c r="V13" s="96">
        <f>SUM(V11:V12)</f>
        <v>-16250</v>
      </c>
      <c r="W13" s="96">
        <f>SUM(W11:W12)</f>
        <v>-10000</v>
      </c>
      <c r="X13" s="96">
        <f>SUM(X11:X12)</f>
        <v>-10000</v>
      </c>
      <c r="Y13" s="96">
        <f>SUM(Y11:Y12)</f>
        <v>-5000</v>
      </c>
      <c r="AA13" s="96">
        <f>SUM(AA11:AA12)</f>
        <v>-16250</v>
      </c>
      <c r="AB13" s="96">
        <f>SUM(AB11:AB12)</f>
        <v>-20000</v>
      </c>
      <c r="AC13" s="96">
        <f>SUM(AC11:AC12)</f>
        <v>-20000</v>
      </c>
      <c r="AD13" s="96">
        <f>SUM(AD11:AD12)</f>
        <v>-10000</v>
      </c>
      <c r="AF13" s="96">
        <f>SUM(AF11:AF12)</f>
        <v>-9750</v>
      </c>
      <c r="AG13" s="96">
        <f>SUM(AG11:AG12)</f>
        <v>-20000</v>
      </c>
      <c r="AH13" s="96">
        <f>SUM(AH11:AH12)</f>
        <v>-25000</v>
      </c>
      <c r="AI13" s="96">
        <f>SUM(AI11:AI12)</f>
        <v>-20000</v>
      </c>
    </row>
    <row r="14" spans="2:3" ht="12.75">
      <c r="B14" s="81"/>
      <c r="C14" s="30"/>
    </row>
    <row r="15" spans="2:3" ht="25.5" customHeight="1">
      <c r="B15" s="82" t="s">
        <v>73</v>
      </c>
      <c r="C15" s="92"/>
    </row>
    <row r="16" spans="2:35" ht="12.75">
      <c r="B16" s="86" t="s">
        <v>90</v>
      </c>
      <c r="C16" s="99"/>
      <c r="D16" s="148">
        <v>0</v>
      </c>
      <c r="E16" s="148">
        <f>'Balance Sheet'!D25-'Balance Sheet'!E25+'Balance Sheet'!D26-'Balance Sheet'!E26+'Balance Sheet'!D27-'Balance Sheet'!E27</f>
        <v>0</v>
      </c>
      <c r="F16" s="148">
        <f>'Balance Sheet'!E25-'Balance Sheet'!F25+'Balance Sheet'!E26-'Balance Sheet'!F26+'Balance Sheet'!E27-'Balance Sheet'!F27</f>
        <v>0</v>
      </c>
      <c r="G16" s="148">
        <f>'Balance Sheet'!F25-'Balance Sheet'!G25+'Balance Sheet'!F26-'Balance Sheet'!G26+'Balance Sheet'!F27-'Balance Sheet'!G27</f>
        <v>0</v>
      </c>
      <c r="H16" s="148">
        <f>'Balance Sheet'!G25-'Balance Sheet'!H25+'Balance Sheet'!G26-'Balance Sheet'!H26+'Balance Sheet'!G27-'Balance Sheet'!H27</f>
        <v>0</v>
      </c>
      <c r="I16" s="148">
        <f>'Balance Sheet'!H25-'Balance Sheet'!I25+'Balance Sheet'!H26-'Balance Sheet'!I26+'Balance Sheet'!H27-'Balance Sheet'!I27</f>
        <v>0</v>
      </c>
      <c r="J16" s="105">
        <f>-('Balance Sheet'!I25-'Balance Sheet'!J25+'Balance Sheet'!I26-'Balance Sheet'!J26+'Balance Sheet'!I27-'Balance Sheet'!J27)</f>
        <v>-1982921.42</v>
      </c>
      <c r="K16" s="148">
        <f>'Balance Sheet'!J25-'Balance Sheet'!K25+'Balance Sheet'!J26-'Balance Sheet'!K26+'Balance Sheet'!J27-'Balance Sheet'!K27</f>
        <v>0</v>
      </c>
      <c r="L16" s="148">
        <f>'Balance Sheet'!K25-'Balance Sheet'!L25+'Balance Sheet'!K26-'Balance Sheet'!L26+'Balance Sheet'!K27-'Balance Sheet'!L27</f>
        <v>0</v>
      </c>
      <c r="M16" s="148">
        <f>'Balance Sheet'!L25-'Balance Sheet'!M25+'Balance Sheet'!L26-'Balance Sheet'!M26+'Balance Sheet'!L27-'Balance Sheet'!M27</f>
        <v>0</v>
      </c>
      <c r="N16" s="148">
        <f>'Balance Sheet'!M25-'Balance Sheet'!N25+'Balance Sheet'!M26-'Balance Sheet'!N26+'Balance Sheet'!M27-'Balance Sheet'!N27</f>
        <v>0</v>
      </c>
      <c r="O16" s="148">
        <f>'Balance Sheet'!N25-'Balance Sheet'!O25+'Balance Sheet'!N26-'Balance Sheet'!O26+'Balance Sheet'!N27-'Balance Sheet'!O27</f>
        <v>0</v>
      </c>
      <c r="Q16" s="144">
        <f>'Balance Sheet'!O25-'Balance Sheet'!Q25+'Balance Sheet'!O26-'Balance Sheet'!Q26+'Balance Sheet'!O27-'Balance Sheet'!Q27</f>
        <v>0</v>
      </c>
      <c r="R16" s="144">
        <f>'Balance Sheet'!Q25-'Balance Sheet'!R25+'Balance Sheet'!Q26-'Balance Sheet'!R26+'Balance Sheet'!Q27-'Balance Sheet'!R27</f>
        <v>0</v>
      </c>
      <c r="S16" s="144">
        <f>'Balance Sheet'!R25-'Balance Sheet'!S25+'Balance Sheet'!R26-'Balance Sheet'!S26+'Balance Sheet'!R27-'Balance Sheet'!S27</f>
        <v>0</v>
      </c>
      <c r="T16" s="144">
        <f>'Balance Sheet'!S25-'Balance Sheet'!T25+'Balance Sheet'!S26-'Balance Sheet'!T26+'Balance Sheet'!S27-'Balance Sheet'!T27</f>
        <v>0</v>
      </c>
      <c r="U16" s="41"/>
      <c r="V16" s="117">
        <f>'Balance Sheet'!T25-'Balance Sheet'!V25+'Balance Sheet'!T26-'Balance Sheet'!V26+'Balance Sheet'!T27-'Balance Sheet'!V27</f>
        <v>0</v>
      </c>
      <c r="W16" s="145">
        <f>'Balance Sheet'!V25-'Balance Sheet'!W25+'Balance Sheet'!V26-'Balance Sheet'!W26+'Balance Sheet'!V27-'Balance Sheet'!W27</f>
        <v>0</v>
      </c>
      <c r="X16" s="145">
        <f>'Balance Sheet'!W25-'Balance Sheet'!X25+'Balance Sheet'!W26-'Balance Sheet'!X26+'Balance Sheet'!W27-'Balance Sheet'!X27</f>
        <v>0</v>
      </c>
      <c r="Y16" s="145">
        <f>'Balance Sheet'!X25-'Balance Sheet'!Y25+'Balance Sheet'!X26-'Balance Sheet'!Y26+'Balance Sheet'!X27-'Balance Sheet'!Y27</f>
        <v>0</v>
      </c>
      <c r="Z16" s="41"/>
      <c r="AA16" s="117">
        <f>'Balance Sheet'!Y25-'Balance Sheet'!AA25+'Balance Sheet'!Y26-'Balance Sheet'!AA26+'Balance Sheet'!Y27-'Balance Sheet'!AA27</f>
        <v>0</v>
      </c>
      <c r="AB16" s="117">
        <f>'Balance Sheet'!AA25-'Balance Sheet'!AB25+'Balance Sheet'!AA26-'Balance Sheet'!AB26+'Balance Sheet'!AA27-'Balance Sheet'!AB27</f>
        <v>0</v>
      </c>
      <c r="AC16" s="117">
        <f>'Balance Sheet'!AB25-'Balance Sheet'!AC25+'Balance Sheet'!AB26-'Balance Sheet'!AC26+'Balance Sheet'!AB27-'Balance Sheet'!AC27</f>
        <v>0</v>
      </c>
      <c r="AD16" s="117">
        <f>'Balance Sheet'!AC25-'Balance Sheet'!AD25+'Balance Sheet'!AC26-'Balance Sheet'!AD26+'Balance Sheet'!AC27-'Balance Sheet'!AD27</f>
        <v>0</v>
      </c>
      <c r="AE16" s="76"/>
      <c r="AF16" s="141">
        <f>'Balance Sheet'!AD25-'Balance Sheet'!AF25+'Balance Sheet'!AD26-'Balance Sheet'!AF26+'Balance Sheet'!AD27-'Balance Sheet'!AF27</f>
        <v>0</v>
      </c>
      <c r="AG16" s="141">
        <f>'Balance Sheet'!AF25-'Balance Sheet'!AG25+'Balance Sheet'!AF26-'Balance Sheet'!AG26+'Balance Sheet'!AF27-'Balance Sheet'!AG27</f>
        <v>0</v>
      </c>
      <c r="AH16" s="141">
        <f>'Balance Sheet'!AG25-'Balance Sheet'!AH25+'Balance Sheet'!AG26-'Balance Sheet'!AH26+'Balance Sheet'!AG27-'Balance Sheet'!AH27</f>
        <v>0</v>
      </c>
      <c r="AI16" s="141">
        <f>'Balance Sheet'!AH25-'Balance Sheet'!AI25+'Balance Sheet'!AH26-'Balance Sheet'!AI26+'Balance Sheet'!AH27-'Balance Sheet'!AI27</f>
        <v>0</v>
      </c>
    </row>
    <row r="17" spans="2:35" ht="12.75">
      <c r="B17" s="86" t="s">
        <v>146</v>
      </c>
      <c r="C17" s="99"/>
      <c r="D17" s="156">
        <f>'Income Statement'!D42</f>
        <v>13219.48</v>
      </c>
      <c r="E17" s="156">
        <f>'Income Statement'!E42</f>
        <v>13219.476133333346</v>
      </c>
      <c r="F17" s="156">
        <f>'Income Statement'!F42</f>
        <v>13219.476133333343</v>
      </c>
      <c r="G17" s="156">
        <f>'Income Statement'!G42</f>
        <v>13219.476133333343</v>
      </c>
      <c r="H17" s="156">
        <f>'Income Statement'!H42</f>
        <v>13219.476133333344</v>
      </c>
      <c r="I17" s="156">
        <f>'Income Statement'!I42</f>
        <v>13219.476133333344</v>
      </c>
      <c r="J17" s="105">
        <v>-222924.5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Q17" s="144"/>
      <c r="R17" s="144"/>
      <c r="S17" s="144"/>
      <c r="T17" s="144"/>
      <c r="U17" s="41"/>
      <c r="V17" s="117"/>
      <c r="W17" s="145"/>
      <c r="X17" s="145"/>
      <c r="Y17" s="145"/>
      <c r="Z17" s="41"/>
      <c r="AA17" s="117"/>
      <c r="AB17" s="117"/>
      <c r="AC17" s="117"/>
      <c r="AD17" s="117"/>
      <c r="AE17" s="76"/>
      <c r="AF17" s="141"/>
      <c r="AG17" s="141"/>
      <c r="AH17" s="141"/>
      <c r="AI17" s="141"/>
    </row>
    <row r="18" spans="2:35" ht="12.75">
      <c r="B18" s="83" t="s">
        <v>74</v>
      </c>
      <c r="C18" s="100"/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Q18" s="145">
        <v>0</v>
      </c>
      <c r="R18" s="145">
        <v>0</v>
      </c>
      <c r="S18" s="145">
        <v>0</v>
      </c>
      <c r="T18" s="145">
        <v>0</v>
      </c>
      <c r="U18" s="41"/>
      <c r="V18" s="145">
        <v>0</v>
      </c>
      <c r="W18" s="145">
        <v>0</v>
      </c>
      <c r="X18" s="145">
        <v>0</v>
      </c>
      <c r="Y18" s="145">
        <v>0</v>
      </c>
      <c r="Z18" s="41"/>
      <c r="AA18" s="145">
        <v>0</v>
      </c>
      <c r="AB18" s="145">
        <v>0</v>
      </c>
      <c r="AC18" s="145">
        <v>0</v>
      </c>
      <c r="AD18" s="145">
        <v>0</v>
      </c>
      <c r="AE18" s="76"/>
      <c r="AF18" s="142">
        <v>0</v>
      </c>
      <c r="AG18" s="142">
        <v>0</v>
      </c>
      <c r="AH18" s="142">
        <v>0</v>
      </c>
      <c r="AI18" s="142">
        <v>0</v>
      </c>
    </row>
    <row r="19" spans="2:35" ht="14.25" customHeight="1">
      <c r="B19" s="87" t="s">
        <v>144</v>
      </c>
      <c r="C19" s="102"/>
      <c r="D19" s="142">
        <v>0</v>
      </c>
      <c r="E19" s="142">
        <f>'Balance Sheet'!D39-'Balance Sheet'!E39</f>
        <v>0</v>
      </c>
      <c r="F19" s="142">
        <f>'Balance Sheet'!E39-'Balance Sheet'!F39</f>
        <v>0</v>
      </c>
      <c r="G19" s="142">
        <f>'Balance Sheet'!F39-'Balance Sheet'!G39</f>
        <v>0</v>
      </c>
      <c r="H19" s="142">
        <f>'Balance Sheet'!G39-'Balance Sheet'!H39</f>
        <v>0</v>
      </c>
      <c r="I19" s="142">
        <f>'Balance Sheet'!H39-'Balance Sheet'!I39</f>
        <v>0</v>
      </c>
      <c r="J19" s="101">
        <f>'Balance Sheet'!J39-'Balance Sheet'!I39</f>
        <v>2205845.9206666662</v>
      </c>
      <c r="K19" s="142">
        <f>'Balance Sheet'!J39-'Balance Sheet'!K39</f>
        <v>0</v>
      </c>
      <c r="L19" s="142">
        <f>'Balance Sheet'!K39-'Balance Sheet'!L39</f>
        <v>0</v>
      </c>
      <c r="M19" s="142">
        <f>'Balance Sheet'!L39-'Balance Sheet'!M39</f>
        <v>0</v>
      </c>
      <c r="N19" s="142">
        <f>'Balance Sheet'!M39-'Balance Sheet'!N39</f>
        <v>0</v>
      </c>
      <c r="O19" s="142">
        <f>'Balance Sheet'!N39-'Balance Sheet'!O39</f>
        <v>0</v>
      </c>
      <c r="Q19" s="145">
        <f>'Balance Sheet'!O39-'Balance Sheet'!Q39</f>
        <v>0</v>
      </c>
      <c r="R19" s="145">
        <f>'Balance Sheet'!Q39-'Balance Sheet'!R39</f>
        <v>0</v>
      </c>
      <c r="S19" s="145">
        <f>'Balance Sheet'!R39-'Balance Sheet'!S39</f>
        <v>0</v>
      </c>
      <c r="T19" s="145">
        <f>'Balance Sheet'!S39-'Balance Sheet'!T39</f>
        <v>0</v>
      </c>
      <c r="U19" s="145"/>
      <c r="V19" s="145">
        <f>'Balance Sheet'!T39-'Balance Sheet'!V39</f>
        <v>0</v>
      </c>
      <c r="W19" s="145">
        <f>'Balance Sheet'!V39-'Balance Sheet'!W39</f>
        <v>0</v>
      </c>
      <c r="X19" s="145">
        <f>'Balance Sheet'!W39-'Balance Sheet'!X39</f>
        <v>0</v>
      </c>
      <c r="Y19" s="145">
        <f>'Balance Sheet'!X39-'Balance Sheet'!Y39</f>
        <v>0</v>
      </c>
      <c r="Z19" s="41"/>
      <c r="AA19" s="145">
        <f>'Balance Sheet'!Y39-'Balance Sheet'!AA39</f>
        <v>0</v>
      </c>
      <c r="AB19" s="145">
        <f>'Balance Sheet'!AA39-'Balance Sheet'!AB39</f>
        <v>0</v>
      </c>
      <c r="AC19" s="145">
        <f>'Balance Sheet'!AB39-'Balance Sheet'!AC39</f>
        <v>0</v>
      </c>
      <c r="AD19" s="145">
        <f>'Balance Sheet'!AC39-'Balance Sheet'!AD39</f>
        <v>0</v>
      </c>
      <c r="AE19" s="76"/>
      <c r="AF19" s="142">
        <f>'Balance Sheet'!AD39-'Balance Sheet'!AF39</f>
        <v>0</v>
      </c>
      <c r="AG19" s="142">
        <f>'Balance Sheet'!AF39-'Balance Sheet'!AG39</f>
        <v>0</v>
      </c>
      <c r="AH19" s="142">
        <f>'Balance Sheet'!AG39-'Balance Sheet'!AH39</f>
        <v>0</v>
      </c>
      <c r="AI19" s="142">
        <f>'Balance Sheet'!AH39-'Balance Sheet'!AI39</f>
        <v>0</v>
      </c>
    </row>
    <row r="20" spans="2:35" s="2" customFormat="1" ht="13.5" customHeight="1">
      <c r="B20" s="83" t="s">
        <v>75</v>
      </c>
      <c r="C20" s="100"/>
      <c r="D20" s="146">
        <v>833</v>
      </c>
      <c r="E20" s="98">
        <f>'Balance Sheet'!E24-'Balance Sheet'!D24</f>
        <v>832.9999999999999</v>
      </c>
      <c r="F20" s="98">
        <f>'Balance Sheet'!F24-'Balance Sheet'!E24</f>
        <v>833</v>
      </c>
      <c r="G20" s="98">
        <f>'Balance Sheet'!G24-'Balance Sheet'!F24</f>
        <v>833</v>
      </c>
      <c r="H20" s="98">
        <f>'Balance Sheet'!H24-'Balance Sheet'!G24</f>
        <v>833</v>
      </c>
      <c r="I20" s="98">
        <f>'Balance Sheet'!I24-'Balance Sheet'!H24</f>
        <v>-4165.33</v>
      </c>
      <c r="J20" s="143">
        <f>'Balance Sheet'!J24-'Balance Sheet'!I24</f>
        <v>0</v>
      </c>
      <c r="K20" s="143">
        <f>'Balance Sheet'!AH24-'Balance Sheet'!AG24</f>
        <v>0</v>
      </c>
      <c r="L20" s="143">
        <f>'Balance Sheet'!AI24-'Balance Sheet'!AH24</f>
        <v>0</v>
      </c>
      <c r="M20" s="143">
        <f>'Balance Sheet'!AJ24-'Balance Sheet'!AI24</f>
        <v>0</v>
      </c>
      <c r="N20" s="143">
        <f>'Balance Sheet'!AK24-'Balance Sheet'!AJ24</f>
        <v>0</v>
      </c>
      <c r="O20" s="143">
        <f>'Balance Sheet'!AL24-'Balance Sheet'!AK24</f>
        <v>0</v>
      </c>
      <c r="Q20" s="146">
        <v>0</v>
      </c>
      <c r="R20" s="146">
        <v>0</v>
      </c>
      <c r="S20" s="146">
        <v>0</v>
      </c>
      <c r="T20" s="146">
        <v>0</v>
      </c>
      <c r="U20" s="147"/>
      <c r="V20" s="146">
        <v>0</v>
      </c>
      <c r="W20" s="146">
        <v>0</v>
      </c>
      <c r="X20" s="146">
        <v>0</v>
      </c>
      <c r="Y20" s="146">
        <v>0</v>
      </c>
      <c r="Z20" s="147"/>
      <c r="AA20" s="146">
        <v>0</v>
      </c>
      <c r="AB20" s="146">
        <v>0</v>
      </c>
      <c r="AC20" s="146">
        <v>0</v>
      </c>
      <c r="AD20" s="146">
        <v>0</v>
      </c>
      <c r="AE20" s="97"/>
      <c r="AF20" s="143">
        <v>0</v>
      </c>
      <c r="AG20" s="143">
        <v>0</v>
      </c>
      <c r="AH20" s="143">
        <v>0</v>
      </c>
      <c r="AI20" s="143">
        <v>0</v>
      </c>
    </row>
    <row r="21" spans="2:3" ht="12.75">
      <c r="B21" s="83" t="s">
        <v>54</v>
      </c>
      <c r="C21" s="36"/>
    </row>
    <row r="22" spans="2:35" ht="12.75">
      <c r="B22" s="84" t="s">
        <v>76</v>
      </c>
      <c r="C22" s="93"/>
      <c r="D22" s="150">
        <f>SUM(D16:D21)</f>
        <v>14052.48</v>
      </c>
      <c r="E22" s="73">
        <f>SUM(E16:E21)</f>
        <v>14052.476133333346</v>
      </c>
      <c r="F22" s="73">
        <f aca="true" t="shared" si="2" ref="F22:N22">SUM(F16:F21)</f>
        <v>14052.476133333343</v>
      </c>
      <c r="G22" s="73">
        <f t="shared" si="2"/>
        <v>14052.476133333343</v>
      </c>
      <c r="H22" s="73">
        <f t="shared" si="2"/>
        <v>14052.476133333344</v>
      </c>
      <c r="I22" s="73">
        <f t="shared" si="2"/>
        <v>9054.146133333345</v>
      </c>
      <c r="J22" s="157">
        <f t="shared" si="2"/>
        <v>0.0006666663102805614</v>
      </c>
      <c r="K22" s="150">
        <f t="shared" si="2"/>
        <v>0</v>
      </c>
      <c r="L22" s="150">
        <f t="shared" si="2"/>
        <v>0</v>
      </c>
      <c r="M22" s="150">
        <f t="shared" si="2"/>
        <v>0</v>
      </c>
      <c r="N22" s="150">
        <f t="shared" si="2"/>
        <v>0</v>
      </c>
      <c r="O22" s="150">
        <f>SUM(O16:O21)</f>
        <v>0</v>
      </c>
      <c r="Q22" s="149">
        <f>SUM(Q16:Q21)</f>
        <v>0</v>
      </c>
      <c r="R22" s="149">
        <f>SUM(R16:R21)</f>
        <v>0</v>
      </c>
      <c r="S22" s="149">
        <f>SUM(S16:S21)</f>
        <v>0</v>
      </c>
      <c r="T22" s="149">
        <f>SUM(T16:T21)</f>
        <v>0</v>
      </c>
      <c r="V22" s="106">
        <f>SUM(V16:V21)</f>
        <v>0</v>
      </c>
      <c r="W22" s="151">
        <f>SUM(W16:W21)</f>
        <v>0</v>
      </c>
      <c r="X22" s="151">
        <f>SUM(X16:X21)</f>
        <v>0</v>
      </c>
      <c r="Y22" s="151">
        <f>SUM(Y16:Y21)</f>
        <v>0</v>
      </c>
      <c r="AA22" s="151">
        <f>SUM(AA16:AA21)</f>
        <v>0</v>
      </c>
      <c r="AB22" s="151">
        <f>SUM(AB16:AB21)</f>
        <v>0</v>
      </c>
      <c r="AC22" s="151">
        <f>SUM(AC16:AC21)</f>
        <v>0</v>
      </c>
      <c r="AD22" s="151">
        <f>SUM(AD16:AD21)</f>
        <v>0</v>
      </c>
      <c r="AF22" s="151">
        <f>SUM(AF16:AF21)</f>
        <v>0</v>
      </c>
      <c r="AG22" s="151">
        <f>SUM(AG16:AG21)</f>
        <v>0</v>
      </c>
      <c r="AH22" s="151">
        <f>SUM(AH16:AH21)</f>
        <v>0</v>
      </c>
      <c r="AI22" s="151">
        <f>SUM(AI16:AI21)</f>
        <v>0</v>
      </c>
    </row>
    <row r="23" spans="2:3" ht="12.75">
      <c r="B23" s="81"/>
      <c r="C23" s="30"/>
    </row>
    <row r="24" spans="2:35" ht="12.75">
      <c r="B24" s="88" t="s">
        <v>77</v>
      </c>
      <c r="C24" s="94"/>
      <c r="D24" s="96">
        <f aca="true" t="shared" si="3" ref="D24:O24">D22+D13+D8</f>
        <v>-87914.44033333335</v>
      </c>
      <c r="E24" s="96">
        <f t="shared" si="3"/>
        <v>-92305.9094666667</v>
      </c>
      <c r="F24" s="96">
        <f t="shared" si="3"/>
        <v>-86477.58113333335</v>
      </c>
      <c r="G24" s="96">
        <f t="shared" si="3"/>
        <v>-62432.30946666669</v>
      </c>
      <c r="H24" s="96">
        <f t="shared" si="3"/>
        <v>-63157.30946666669</v>
      </c>
      <c r="I24" s="96">
        <f t="shared" si="3"/>
        <v>-205043.1394666667</v>
      </c>
      <c r="J24" s="96">
        <f t="shared" si="3"/>
        <v>-100463.36183333369</v>
      </c>
      <c r="K24" s="96">
        <f t="shared" si="3"/>
        <v>-181959.48333333334</v>
      </c>
      <c r="L24" s="96">
        <f t="shared" si="3"/>
        <v>-128555.31666666668</v>
      </c>
      <c r="M24" s="96">
        <f t="shared" si="3"/>
        <v>-208286.56666666668</v>
      </c>
      <c r="N24" s="96">
        <f t="shared" si="3"/>
        <v>-141818.85833333334</v>
      </c>
      <c r="O24" s="96">
        <f t="shared" si="3"/>
        <v>-308251.15</v>
      </c>
      <c r="Q24" s="96">
        <f>Q22+Q13+Q8</f>
        <v>-519609.6625</v>
      </c>
      <c r="R24" s="96">
        <f>R22+R13+R8</f>
        <v>-405281.25</v>
      </c>
      <c r="S24" s="96">
        <f>S22+S13+S8</f>
        <v>-139328.125</v>
      </c>
      <c r="T24" s="96">
        <f>T22+T13+T8</f>
        <v>-203250</v>
      </c>
      <c r="V24" s="96">
        <f>V22+V13+V8</f>
        <v>-262875</v>
      </c>
      <c r="W24" s="103">
        <f>W22+W13+W8</f>
        <v>413500</v>
      </c>
      <c r="X24" s="103">
        <f>X22+X13+X8</f>
        <v>1057749.1375000002</v>
      </c>
      <c r="Y24" s="103">
        <f>Y22+Y13+Y8</f>
        <v>792874.1950000001</v>
      </c>
      <c r="AA24" s="103">
        <f>AA22+AA13+AA8</f>
        <v>691669.1950000001</v>
      </c>
      <c r="AB24" s="103">
        <f>AB22+AB13+AB8</f>
        <v>1296444.195</v>
      </c>
      <c r="AC24" s="103">
        <f>AC22+AC13+AC8</f>
        <v>1907694.195</v>
      </c>
      <c r="AD24" s="103">
        <f>AD22+AD13+AD8</f>
        <v>1836694.195</v>
      </c>
      <c r="AF24" s="103">
        <f>AF22+AF13+AF8</f>
        <v>1652331.6949999998</v>
      </c>
      <c r="AG24" s="103">
        <f>AG22+AG13+AG8</f>
        <v>2626269.1950000003</v>
      </c>
      <c r="AH24" s="103">
        <f>AH22+AH13+AH8</f>
        <v>4650019.195</v>
      </c>
      <c r="AI24" s="103">
        <f>AI22+AI13+AI8</f>
        <v>4115019.195</v>
      </c>
    </row>
    <row r="25" spans="2:35" ht="12.75">
      <c r="B25" s="81"/>
      <c r="C25" s="30"/>
      <c r="W25" s="29"/>
      <c r="X25" s="29"/>
      <c r="Y25" s="29"/>
      <c r="AB25" s="29"/>
      <c r="AC25" s="29"/>
      <c r="AD25" s="29"/>
      <c r="AG25" s="29"/>
      <c r="AH25" s="29"/>
      <c r="AI25" s="29"/>
    </row>
    <row r="26" spans="2:35" ht="12.75">
      <c r="B26" s="89" t="s">
        <v>78</v>
      </c>
      <c r="C26" s="35"/>
      <c r="D26" s="96">
        <v>235309.42</v>
      </c>
      <c r="E26" s="96">
        <f>D28</f>
        <v>147394.97966666665</v>
      </c>
      <c r="F26" s="96">
        <f aca="true" t="shared" si="4" ref="F26:O26">E28</f>
        <v>55089.07019999996</v>
      </c>
      <c r="G26" s="96">
        <f t="shared" si="4"/>
        <v>-31388.510933333397</v>
      </c>
      <c r="H26" s="96">
        <f t="shared" si="4"/>
        <v>-93820.82040000008</v>
      </c>
      <c r="I26" s="96">
        <f t="shared" si="4"/>
        <v>-156978.12986666677</v>
      </c>
      <c r="J26" s="96">
        <f t="shared" si="4"/>
        <v>-362021.2693333335</v>
      </c>
      <c r="K26" s="96">
        <f t="shared" si="4"/>
        <v>-462484.63116666715</v>
      </c>
      <c r="L26" s="96">
        <f t="shared" si="4"/>
        <v>-644444.1145000005</v>
      </c>
      <c r="M26" s="96">
        <f t="shared" si="4"/>
        <v>-772999.4311666671</v>
      </c>
      <c r="N26" s="96">
        <f t="shared" si="4"/>
        <v>-981285.9978333338</v>
      </c>
      <c r="O26" s="96">
        <f t="shared" si="4"/>
        <v>-1123104.856166667</v>
      </c>
      <c r="Q26" s="96">
        <f>O28</f>
        <v>-1431356.0061666672</v>
      </c>
      <c r="R26" s="96">
        <f>Q28</f>
        <v>-1950965.6686666673</v>
      </c>
      <c r="S26" s="96">
        <f>R28</f>
        <v>-2356246.9186666673</v>
      </c>
      <c r="T26" s="96">
        <f>S28</f>
        <v>-2495575.0436666673</v>
      </c>
      <c r="V26" s="96">
        <f>T28</f>
        <v>-2698825.0436666673</v>
      </c>
      <c r="W26" s="96">
        <f>V28</f>
        <v>-2961700.0436666673</v>
      </c>
      <c r="X26" s="96">
        <f>W28</f>
        <v>-2548200.0436666673</v>
      </c>
      <c r="Y26" s="96">
        <f>X28</f>
        <v>-1490450.9061666671</v>
      </c>
      <c r="AA26" s="96">
        <f>Y28</f>
        <v>-697576.711166667</v>
      </c>
      <c r="AB26" s="96">
        <f>AA28</f>
        <v>-5907.516166666988</v>
      </c>
      <c r="AC26" s="96">
        <f>AB28</f>
        <v>1290536.678833333</v>
      </c>
      <c r="AD26" s="96">
        <f>AC28</f>
        <v>3198230.873833333</v>
      </c>
      <c r="AF26" s="96">
        <f>AD28</f>
        <v>5034925.068833333</v>
      </c>
      <c r="AG26" s="96">
        <f>AF28</f>
        <v>6687256.763833333</v>
      </c>
      <c r="AH26" s="96">
        <f>AG28</f>
        <v>9313525.958833333</v>
      </c>
      <c r="AI26" s="96">
        <f>AH28</f>
        <v>13963545.153833333</v>
      </c>
    </row>
    <row r="27" spans="2:3" ht="12.75">
      <c r="B27" s="90"/>
      <c r="C27" s="35"/>
    </row>
    <row r="28" spans="2:35" ht="12.75">
      <c r="B28" s="90" t="s">
        <v>79</v>
      </c>
      <c r="C28" s="35"/>
      <c r="D28" s="96">
        <f>D26+D24</f>
        <v>147394.97966666665</v>
      </c>
      <c r="E28" s="96">
        <f>E26+E24</f>
        <v>55089.07019999996</v>
      </c>
      <c r="F28" s="96">
        <f aca="true" t="shared" si="5" ref="F28:O28">F26+F24</f>
        <v>-31388.510933333397</v>
      </c>
      <c r="G28" s="96">
        <f t="shared" si="5"/>
        <v>-93820.82040000008</v>
      </c>
      <c r="H28" s="96">
        <f t="shared" si="5"/>
        <v>-156978.12986666677</v>
      </c>
      <c r="I28" s="96">
        <f t="shared" si="5"/>
        <v>-362021.2693333335</v>
      </c>
      <c r="J28" s="96">
        <f t="shared" si="5"/>
        <v>-462484.63116666715</v>
      </c>
      <c r="K28" s="96">
        <f t="shared" si="5"/>
        <v>-644444.1145000005</v>
      </c>
      <c r="L28" s="96">
        <f t="shared" si="5"/>
        <v>-772999.4311666671</v>
      </c>
      <c r="M28" s="96">
        <f t="shared" si="5"/>
        <v>-981285.9978333338</v>
      </c>
      <c r="N28" s="96">
        <f t="shared" si="5"/>
        <v>-1123104.856166667</v>
      </c>
      <c r="O28" s="96">
        <f t="shared" si="5"/>
        <v>-1431356.0061666672</v>
      </c>
      <c r="Q28" s="96">
        <f>Q26+Q24</f>
        <v>-1950965.6686666673</v>
      </c>
      <c r="R28" s="96">
        <f>R26+R24</f>
        <v>-2356246.9186666673</v>
      </c>
      <c r="S28" s="96">
        <f>S26+S24</f>
        <v>-2495575.0436666673</v>
      </c>
      <c r="T28" s="96">
        <f>T26+T24</f>
        <v>-2698825.0436666673</v>
      </c>
      <c r="V28" s="96">
        <f>V24+V26</f>
        <v>-2961700.0436666673</v>
      </c>
      <c r="W28" s="96">
        <f>W26+W24</f>
        <v>-2548200.0436666673</v>
      </c>
      <c r="X28" s="96">
        <f>X26+X24</f>
        <v>-1490450.9061666671</v>
      </c>
      <c r="Y28" s="96">
        <f>Y26+Y24</f>
        <v>-697576.711166667</v>
      </c>
      <c r="AA28" s="96">
        <f>AA24+AA26</f>
        <v>-5907.516166666988</v>
      </c>
      <c r="AB28" s="96">
        <f>AB26+AB24</f>
        <v>1290536.678833333</v>
      </c>
      <c r="AC28" s="96">
        <f>AC26+AC24</f>
        <v>3198230.873833333</v>
      </c>
      <c r="AD28" s="96">
        <f>AD26+AD24</f>
        <v>5034925.068833333</v>
      </c>
      <c r="AF28" s="96">
        <f>AF24+AF26</f>
        <v>6687256.763833333</v>
      </c>
      <c r="AG28" s="96">
        <f>AG26+AG24</f>
        <v>9313525.958833333</v>
      </c>
      <c r="AH28" s="96">
        <f>AH26+AH24</f>
        <v>13963545.153833333</v>
      </c>
      <c r="AI28" s="96">
        <f>AI26+AI24</f>
        <v>18078564.348833334</v>
      </c>
    </row>
    <row r="30" ht="12.75">
      <c r="D30" s="41"/>
    </row>
    <row r="31" ht="12.75">
      <c r="D31" s="135">
        <f>D30-D28</f>
        <v>-147394.97966666665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&amp;CPage &amp;P&amp;RMobitrac Financials 03 04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A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6.7109375" style="0" customWidth="1"/>
    <col min="3" max="3" width="12.28125" style="0" bestFit="1" customWidth="1"/>
    <col min="4" max="4" width="12.28125" style="0" customWidth="1"/>
    <col min="6" max="6" width="9.7109375" style="0" customWidth="1"/>
    <col min="7" max="7" width="11.00390625" style="0" customWidth="1"/>
    <col min="8" max="8" width="10.8515625" style="0" customWidth="1"/>
    <col min="9" max="9" width="11.00390625" style="0" customWidth="1"/>
    <col min="10" max="17" width="12.28125" style="0" bestFit="1" customWidth="1"/>
    <col min="18" max="18" width="4.421875" style="0" customWidth="1"/>
    <col min="19" max="22" width="12.28125" style="0" bestFit="1" customWidth="1"/>
    <col min="23" max="23" width="3.57421875" style="0" customWidth="1"/>
    <col min="24" max="24" width="11.421875" style="0" customWidth="1"/>
    <col min="25" max="25" width="11.7109375" style="0" customWidth="1"/>
    <col min="26" max="26" width="11.140625" style="0" customWidth="1"/>
    <col min="27" max="27" width="11.421875" style="0" customWidth="1"/>
    <col min="28" max="28" width="3.57421875" style="0" customWidth="1"/>
    <col min="29" max="29" width="11.421875" style="0" customWidth="1"/>
    <col min="30" max="31" width="11.140625" style="0" customWidth="1"/>
    <col min="32" max="32" width="11.421875" style="0" customWidth="1"/>
    <col min="33" max="33" width="3.57421875" style="0" customWidth="1"/>
    <col min="34" max="34" width="11.421875" style="0" customWidth="1"/>
    <col min="35" max="36" width="11.140625" style="0" customWidth="1"/>
    <col min="37" max="37" width="11.421875" style="0" customWidth="1"/>
  </cols>
  <sheetData>
    <row r="1" ht="12.75">
      <c r="B1" s="28" t="s">
        <v>88</v>
      </c>
    </row>
    <row r="3" spans="3:37" ht="12.75">
      <c r="C3" s="43" t="s">
        <v>46</v>
      </c>
      <c r="D3" s="43" t="s">
        <v>85</v>
      </c>
      <c r="E3" s="43" t="s">
        <v>47</v>
      </c>
      <c r="F3" s="31">
        <v>37987</v>
      </c>
      <c r="G3" s="31">
        <v>38018</v>
      </c>
      <c r="H3" s="31">
        <v>38047</v>
      </c>
      <c r="I3" s="31">
        <v>38078</v>
      </c>
      <c r="J3" s="31">
        <v>38108</v>
      </c>
      <c r="K3" s="31">
        <v>38139</v>
      </c>
      <c r="L3" s="31">
        <v>38169</v>
      </c>
      <c r="M3" s="31">
        <v>38200</v>
      </c>
      <c r="N3" s="31">
        <v>38231</v>
      </c>
      <c r="O3" s="31">
        <v>38261</v>
      </c>
      <c r="P3" s="31">
        <v>38292</v>
      </c>
      <c r="Q3" s="31">
        <v>38322</v>
      </c>
      <c r="R3" s="32"/>
      <c r="S3" s="43" t="s">
        <v>29</v>
      </c>
      <c r="T3" s="43" t="s">
        <v>30</v>
      </c>
      <c r="U3" s="43" t="s">
        <v>31</v>
      </c>
      <c r="V3" s="43" t="s">
        <v>32</v>
      </c>
      <c r="W3" s="43"/>
      <c r="X3" s="43" t="s">
        <v>34</v>
      </c>
      <c r="Y3" s="43" t="s">
        <v>35</v>
      </c>
      <c r="Z3" s="43" t="s">
        <v>36</v>
      </c>
      <c r="AA3" s="43" t="s">
        <v>37</v>
      </c>
      <c r="AB3" s="43"/>
      <c r="AC3" s="43" t="s">
        <v>120</v>
      </c>
      <c r="AD3" s="43" t="s">
        <v>121</v>
      </c>
      <c r="AE3" s="43" t="s">
        <v>122</v>
      </c>
      <c r="AF3" s="43" t="s">
        <v>123</v>
      </c>
      <c r="AG3" s="43"/>
      <c r="AH3" s="43" t="s">
        <v>126</v>
      </c>
      <c r="AI3" s="43" t="s">
        <v>127</v>
      </c>
      <c r="AJ3" s="43" t="s">
        <v>128</v>
      </c>
      <c r="AK3" s="43" t="s">
        <v>129</v>
      </c>
    </row>
    <row r="4" spans="2:37" ht="12.75">
      <c r="B4" s="37" t="s">
        <v>40</v>
      </c>
      <c r="C4" s="41">
        <v>225000</v>
      </c>
      <c r="D4" s="41">
        <f>C4/4</f>
        <v>56250</v>
      </c>
      <c r="E4" s="23">
        <f>C4/12</f>
        <v>18750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/>
      <c r="S4" s="4">
        <f>Q4</f>
        <v>1</v>
      </c>
      <c r="T4" s="4">
        <f aca="true" t="shared" si="0" ref="T4:V12">S4</f>
        <v>1</v>
      </c>
      <c r="U4" s="4">
        <f t="shared" si="0"/>
        <v>1</v>
      </c>
      <c r="V4" s="4">
        <f t="shared" si="0"/>
        <v>1</v>
      </c>
      <c r="W4" s="4"/>
      <c r="X4" s="4">
        <f>V4</f>
        <v>1</v>
      </c>
      <c r="Y4" s="4">
        <f aca="true" t="shared" si="1" ref="Y4:AA12">X4</f>
        <v>1</v>
      </c>
      <c r="Z4" s="4">
        <f t="shared" si="1"/>
        <v>1</v>
      </c>
      <c r="AA4" s="4">
        <f t="shared" si="1"/>
        <v>1</v>
      </c>
      <c r="AB4" s="4"/>
      <c r="AC4" s="4">
        <f>AA4</f>
        <v>1</v>
      </c>
      <c r="AD4" s="4">
        <f aca="true" t="shared" si="2" ref="AD4:AF8">AC4</f>
        <v>1</v>
      </c>
      <c r="AE4" s="4">
        <f t="shared" si="2"/>
        <v>1</v>
      </c>
      <c r="AF4" s="4">
        <f t="shared" si="2"/>
        <v>1</v>
      </c>
      <c r="AG4" s="4"/>
      <c r="AH4" s="4">
        <f>AF4</f>
        <v>1</v>
      </c>
      <c r="AI4" s="4">
        <f aca="true" t="shared" si="3" ref="AI4:AK8">AH4</f>
        <v>1</v>
      </c>
      <c r="AJ4" s="4">
        <f t="shared" si="3"/>
        <v>1</v>
      </c>
      <c r="AK4" s="4">
        <f t="shared" si="3"/>
        <v>1</v>
      </c>
    </row>
    <row r="5" spans="2:37" ht="12.75">
      <c r="B5" s="37" t="s">
        <v>42</v>
      </c>
      <c r="C5" s="41">
        <v>175000</v>
      </c>
      <c r="D5" s="41">
        <f aca="true" t="shared" si="4" ref="D5:D14">C5/4</f>
        <v>43750</v>
      </c>
      <c r="E5" s="23">
        <f aca="true" t="shared" si="5" ref="E5:E14">C5/12</f>
        <v>14583.333333333334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/>
      <c r="S5" s="4">
        <f>Q5</f>
        <v>1</v>
      </c>
      <c r="T5" s="4">
        <f t="shared" si="0"/>
        <v>1</v>
      </c>
      <c r="U5" s="4">
        <f t="shared" si="0"/>
        <v>1</v>
      </c>
      <c r="V5" s="4">
        <f t="shared" si="0"/>
        <v>1</v>
      </c>
      <c r="W5" s="4"/>
      <c r="X5" s="4">
        <f aca="true" t="shared" si="6" ref="X5:X11">V5</f>
        <v>1</v>
      </c>
      <c r="Y5" s="4">
        <f t="shared" si="1"/>
        <v>1</v>
      </c>
      <c r="Z5" s="4">
        <f t="shared" si="1"/>
        <v>1</v>
      </c>
      <c r="AA5" s="4">
        <f t="shared" si="1"/>
        <v>1</v>
      </c>
      <c r="AB5" s="4"/>
      <c r="AC5" s="4">
        <f>AA5</f>
        <v>1</v>
      </c>
      <c r="AD5" s="4">
        <f t="shared" si="2"/>
        <v>1</v>
      </c>
      <c r="AE5" s="4">
        <f t="shared" si="2"/>
        <v>1</v>
      </c>
      <c r="AF5" s="4">
        <f t="shared" si="2"/>
        <v>1</v>
      </c>
      <c r="AG5" s="4"/>
      <c r="AH5" s="4">
        <f>AF5</f>
        <v>1</v>
      </c>
      <c r="AI5" s="4">
        <f t="shared" si="3"/>
        <v>1</v>
      </c>
      <c r="AJ5" s="4">
        <f t="shared" si="3"/>
        <v>1</v>
      </c>
      <c r="AK5" s="4">
        <f t="shared" si="3"/>
        <v>1</v>
      </c>
    </row>
    <row r="6" spans="2:37" ht="12.75">
      <c r="B6" s="37" t="s">
        <v>41</v>
      </c>
      <c r="C6" s="41">
        <v>150000</v>
      </c>
      <c r="D6" s="41">
        <f t="shared" si="4"/>
        <v>37500</v>
      </c>
      <c r="E6" s="23">
        <f t="shared" si="5"/>
        <v>12500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f aca="true" t="shared" si="7" ref="L6:Q8">K6</f>
        <v>1</v>
      </c>
      <c r="M6" s="4">
        <f t="shared" si="7"/>
        <v>1</v>
      </c>
      <c r="N6" s="4">
        <f t="shared" si="7"/>
        <v>1</v>
      </c>
      <c r="O6" s="4">
        <f t="shared" si="7"/>
        <v>1</v>
      </c>
      <c r="P6" s="4">
        <f t="shared" si="7"/>
        <v>1</v>
      </c>
      <c r="Q6" s="4">
        <f t="shared" si="7"/>
        <v>1</v>
      </c>
      <c r="R6" s="4"/>
      <c r="S6" s="4">
        <f>Q6</f>
        <v>1</v>
      </c>
      <c r="T6" s="4">
        <f t="shared" si="0"/>
        <v>1</v>
      </c>
      <c r="U6" s="4">
        <f t="shared" si="0"/>
        <v>1</v>
      </c>
      <c r="V6" s="4">
        <f t="shared" si="0"/>
        <v>1</v>
      </c>
      <c r="W6" s="4"/>
      <c r="X6" s="4">
        <f t="shared" si="6"/>
        <v>1</v>
      </c>
      <c r="Y6" s="4">
        <f t="shared" si="1"/>
        <v>1</v>
      </c>
      <c r="Z6" s="4">
        <f t="shared" si="1"/>
        <v>1</v>
      </c>
      <c r="AA6" s="4">
        <f t="shared" si="1"/>
        <v>1</v>
      </c>
      <c r="AB6" s="4"/>
      <c r="AC6" s="4">
        <f>AA6</f>
        <v>1</v>
      </c>
      <c r="AD6" s="4">
        <f t="shared" si="2"/>
        <v>1</v>
      </c>
      <c r="AE6" s="4">
        <f t="shared" si="2"/>
        <v>1</v>
      </c>
      <c r="AF6" s="4">
        <f t="shared" si="2"/>
        <v>1</v>
      </c>
      <c r="AG6" s="4"/>
      <c r="AH6" s="4">
        <f>AF6</f>
        <v>1</v>
      </c>
      <c r="AI6" s="4">
        <f t="shared" si="3"/>
        <v>1</v>
      </c>
      <c r="AJ6" s="4">
        <f t="shared" si="3"/>
        <v>1</v>
      </c>
      <c r="AK6" s="4">
        <f t="shared" si="3"/>
        <v>1</v>
      </c>
    </row>
    <row r="7" spans="2:37" ht="12.75">
      <c r="B7" s="37" t="s">
        <v>133</v>
      </c>
      <c r="C7" s="41">
        <v>135000</v>
      </c>
      <c r="D7" s="41">
        <f t="shared" si="4"/>
        <v>33750</v>
      </c>
      <c r="E7" s="23">
        <f>C7/12</f>
        <v>11250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>
        <v>1</v>
      </c>
      <c r="W7" s="4"/>
      <c r="X7" s="4">
        <v>1</v>
      </c>
      <c r="Y7" s="4">
        <v>1</v>
      </c>
      <c r="Z7" s="4">
        <v>1</v>
      </c>
      <c r="AA7" s="4">
        <v>1</v>
      </c>
      <c r="AB7" s="4"/>
      <c r="AC7" s="4">
        <v>1</v>
      </c>
      <c r="AD7" s="4">
        <v>1</v>
      </c>
      <c r="AE7" s="4">
        <v>1</v>
      </c>
      <c r="AF7" s="4">
        <v>1</v>
      </c>
      <c r="AG7" s="4"/>
      <c r="AH7" s="4">
        <v>1</v>
      </c>
      <c r="AI7" s="4">
        <v>1</v>
      </c>
      <c r="AJ7" s="4">
        <v>1</v>
      </c>
      <c r="AK7" s="4">
        <v>1</v>
      </c>
    </row>
    <row r="8" spans="2:37" ht="12.75">
      <c r="B8" s="37" t="s">
        <v>96</v>
      </c>
      <c r="C8" s="41">
        <v>120000</v>
      </c>
      <c r="D8" s="41">
        <f t="shared" si="4"/>
        <v>30000</v>
      </c>
      <c r="E8" s="23">
        <f t="shared" si="5"/>
        <v>10000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f t="shared" si="7"/>
        <v>1</v>
      </c>
      <c r="N8" s="4">
        <f t="shared" si="7"/>
        <v>1</v>
      </c>
      <c r="O8" s="4">
        <f t="shared" si="7"/>
        <v>1</v>
      </c>
      <c r="P8" s="4">
        <f t="shared" si="7"/>
        <v>1</v>
      </c>
      <c r="Q8" s="4">
        <f t="shared" si="7"/>
        <v>1</v>
      </c>
      <c r="R8" s="4"/>
      <c r="S8" s="4">
        <f>Q8</f>
        <v>1</v>
      </c>
      <c r="T8" s="4">
        <f t="shared" si="0"/>
        <v>1</v>
      </c>
      <c r="U8" s="4">
        <f t="shared" si="0"/>
        <v>1</v>
      </c>
      <c r="V8" s="4">
        <f t="shared" si="0"/>
        <v>1</v>
      </c>
      <c r="W8" s="4"/>
      <c r="X8" s="4">
        <f t="shared" si="6"/>
        <v>1</v>
      </c>
      <c r="Y8" s="4">
        <f t="shared" si="1"/>
        <v>1</v>
      </c>
      <c r="Z8" s="4">
        <f t="shared" si="1"/>
        <v>1</v>
      </c>
      <c r="AA8" s="4">
        <f t="shared" si="1"/>
        <v>1</v>
      </c>
      <c r="AB8" s="4"/>
      <c r="AC8" s="4">
        <f>AA8</f>
        <v>1</v>
      </c>
      <c r="AD8" s="4">
        <f t="shared" si="2"/>
        <v>1</v>
      </c>
      <c r="AE8" s="4">
        <f t="shared" si="2"/>
        <v>1</v>
      </c>
      <c r="AF8" s="4">
        <f t="shared" si="2"/>
        <v>1</v>
      </c>
      <c r="AG8" s="4"/>
      <c r="AH8" s="4">
        <f>AF8</f>
        <v>1</v>
      </c>
      <c r="AI8" s="4">
        <f t="shared" si="3"/>
        <v>1</v>
      </c>
      <c r="AJ8" s="4">
        <f t="shared" si="3"/>
        <v>1</v>
      </c>
      <c r="AK8" s="4">
        <f t="shared" si="3"/>
        <v>1</v>
      </c>
    </row>
    <row r="9" spans="2:37" ht="12.75">
      <c r="B9" s="38"/>
      <c r="C9" s="41"/>
      <c r="D9" s="41"/>
      <c r="E9" s="2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:37" ht="12.75">
      <c r="B10" s="37" t="s">
        <v>43</v>
      </c>
      <c r="C10" s="41">
        <v>100000</v>
      </c>
      <c r="D10" s="41">
        <f t="shared" si="4"/>
        <v>25000</v>
      </c>
      <c r="E10" s="23">
        <f t="shared" si="5"/>
        <v>8333.333333333334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2</v>
      </c>
      <c r="Q10" s="4">
        <v>2</v>
      </c>
      <c r="R10" s="4"/>
      <c r="S10" s="4">
        <v>3</v>
      </c>
      <c r="T10" s="4">
        <v>3</v>
      </c>
      <c r="U10" s="4">
        <f t="shared" si="0"/>
        <v>3</v>
      </c>
      <c r="V10" s="4">
        <v>3</v>
      </c>
      <c r="W10" s="4"/>
      <c r="X10" s="4">
        <v>3</v>
      </c>
      <c r="Y10" s="4">
        <v>3</v>
      </c>
      <c r="Z10" s="4">
        <v>3</v>
      </c>
      <c r="AA10" s="4">
        <f t="shared" si="1"/>
        <v>3</v>
      </c>
      <c r="AB10" s="4"/>
      <c r="AC10" s="4">
        <v>4</v>
      </c>
      <c r="AD10" s="4">
        <v>4</v>
      </c>
      <c r="AE10" s="4">
        <v>4</v>
      </c>
      <c r="AF10" s="4">
        <v>4</v>
      </c>
      <c r="AG10" s="4"/>
      <c r="AH10" s="4">
        <v>5</v>
      </c>
      <c r="AI10" s="4">
        <v>5</v>
      </c>
      <c r="AJ10" s="4">
        <v>5</v>
      </c>
      <c r="AK10" s="4">
        <v>5</v>
      </c>
    </row>
    <row r="11" spans="2:37" ht="12.75">
      <c r="B11" s="37" t="s">
        <v>61</v>
      </c>
      <c r="C11" s="41">
        <v>90000</v>
      </c>
      <c r="D11" s="41">
        <f t="shared" si="4"/>
        <v>22500</v>
      </c>
      <c r="E11" s="23">
        <f t="shared" si="5"/>
        <v>7500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2</v>
      </c>
      <c r="M11" s="4">
        <v>2</v>
      </c>
      <c r="N11" s="4">
        <v>2</v>
      </c>
      <c r="O11" s="4">
        <v>2</v>
      </c>
      <c r="P11" s="4">
        <v>3</v>
      </c>
      <c r="Q11" s="4">
        <v>3</v>
      </c>
      <c r="R11" s="4"/>
      <c r="S11" s="4">
        <v>4</v>
      </c>
      <c r="T11" s="4">
        <f t="shared" si="0"/>
        <v>4</v>
      </c>
      <c r="U11" s="4">
        <f t="shared" si="0"/>
        <v>4</v>
      </c>
      <c r="V11" s="4">
        <f t="shared" si="0"/>
        <v>4</v>
      </c>
      <c r="W11" s="4"/>
      <c r="X11" s="4">
        <f t="shared" si="6"/>
        <v>4</v>
      </c>
      <c r="Y11" s="4">
        <f t="shared" si="1"/>
        <v>4</v>
      </c>
      <c r="Z11" s="4">
        <f t="shared" si="1"/>
        <v>4</v>
      </c>
      <c r="AA11" s="4">
        <f t="shared" si="1"/>
        <v>4</v>
      </c>
      <c r="AB11" s="4"/>
      <c r="AC11" s="4">
        <f>AA11</f>
        <v>4</v>
      </c>
      <c r="AD11" s="4">
        <f aca="true" t="shared" si="8" ref="AD11:AF13">AC11</f>
        <v>4</v>
      </c>
      <c r="AE11" s="4">
        <f t="shared" si="8"/>
        <v>4</v>
      </c>
      <c r="AF11" s="4">
        <f t="shared" si="8"/>
        <v>4</v>
      </c>
      <c r="AG11" s="4"/>
      <c r="AH11" s="4">
        <f>AF11</f>
        <v>4</v>
      </c>
      <c r="AI11" s="4">
        <f aca="true" t="shared" si="9" ref="AI11:AK13">AH11</f>
        <v>4</v>
      </c>
      <c r="AJ11" s="4">
        <f t="shared" si="9"/>
        <v>4</v>
      </c>
      <c r="AK11" s="4">
        <f t="shared" si="9"/>
        <v>4</v>
      </c>
    </row>
    <row r="12" spans="2:37" ht="12.75">
      <c r="B12" s="37" t="s">
        <v>44</v>
      </c>
      <c r="C12" s="41">
        <v>115000</v>
      </c>
      <c r="D12" s="41">
        <f t="shared" si="4"/>
        <v>28750</v>
      </c>
      <c r="E12" s="23">
        <f t="shared" si="5"/>
        <v>9583.333333333334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2</v>
      </c>
      <c r="L12" s="4">
        <v>3</v>
      </c>
      <c r="M12" s="4">
        <v>3</v>
      </c>
      <c r="N12" s="4">
        <v>3</v>
      </c>
      <c r="O12" s="4">
        <v>5</v>
      </c>
      <c r="P12" s="4">
        <v>6</v>
      </c>
      <c r="Q12" s="4">
        <v>6</v>
      </c>
      <c r="R12" s="4"/>
      <c r="S12" s="4">
        <v>6</v>
      </c>
      <c r="T12" s="4">
        <v>6</v>
      </c>
      <c r="U12" s="4">
        <v>6</v>
      </c>
      <c r="V12" s="4">
        <f t="shared" si="0"/>
        <v>6</v>
      </c>
      <c r="W12" s="4"/>
      <c r="X12" s="4">
        <v>8</v>
      </c>
      <c r="Y12" s="4">
        <f t="shared" si="1"/>
        <v>8</v>
      </c>
      <c r="Z12" s="4">
        <f t="shared" si="1"/>
        <v>8</v>
      </c>
      <c r="AA12" s="4">
        <f t="shared" si="1"/>
        <v>8</v>
      </c>
      <c r="AB12" s="4"/>
      <c r="AC12" s="4">
        <v>8</v>
      </c>
      <c r="AD12" s="4">
        <f t="shared" si="8"/>
        <v>8</v>
      </c>
      <c r="AE12" s="4">
        <f t="shared" si="8"/>
        <v>8</v>
      </c>
      <c r="AF12" s="4">
        <f t="shared" si="8"/>
        <v>8</v>
      </c>
      <c r="AG12" s="4"/>
      <c r="AH12" s="4">
        <v>8</v>
      </c>
      <c r="AI12" s="4">
        <f t="shared" si="9"/>
        <v>8</v>
      </c>
      <c r="AJ12" s="4">
        <f t="shared" si="9"/>
        <v>8</v>
      </c>
      <c r="AK12" s="4">
        <f t="shared" si="9"/>
        <v>8</v>
      </c>
    </row>
    <row r="13" spans="2:37" ht="12.75">
      <c r="B13" s="37" t="s">
        <v>45</v>
      </c>
      <c r="C13" s="41">
        <v>75000</v>
      </c>
      <c r="D13" s="41">
        <f t="shared" si="4"/>
        <v>18750</v>
      </c>
      <c r="E13" s="23">
        <f t="shared" si="5"/>
        <v>6250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/>
      <c r="S13" s="4">
        <v>6</v>
      </c>
      <c r="T13" s="4">
        <f aca="true" t="shared" si="10" ref="T13:V14">S13</f>
        <v>6</v>
      </c>
      <c r="U13" s="4">
        <f t="shared" si="10"/>
        <v>6</v>
      </c>
      <c r="V13" s="4">
        <f t="shared" si="10"/>
        <v>6</v>
      </c>
      <c r="W13" s="4"/>
      <c r="X13" s="4">
        <v>8</v>
      </c>
      <c r="Y13" s="4">
        <f aca="true" t="shared" si="11" ref="Y13:AA14">X13</f>
        <v>8</v>
      </c>
      <c r="Z13" s="4">
        <f t="shared" si="11"/>
        <v>8</v>
      </c>
      <c r="AA13" s="4">
        <f t="shared" si="11"/>
        <v>8</v>
      </c>
      <c r="AB13" s="4"/>
      <c r="AC13" s="4">
        <v>10</v>
      </c>
      <c r="AD13" s="4">
        <f t="shared" si="8"/>
        <v>10</v>
      </c>
      <c r="AE13" s="4">
        <f t="shared" si="8"/>
        <v>10</v>
      </c>
      <c r="AF13" s="4">
        <f t="shared" si="8"/>
        <v>10</v>
      </c>
      <c r="AG13" s="4"/>
      <c r="AH13" s="4">
        <v>10</v>
      </c>
      <c r="AI13" s="4">
        <f t="shared" si="9"/>
        <v>10</v>
      </c>
      <c r="AJ13" s="4">
        <f t="shared" si="9"/>
        <v>10</v>
      </c>
      <c r="AK13" s="4">
        <f t="shared" si="9"/>
        <v>10</v>
      </c>
    </row>
    <row r="14" spans="2:37" ht="12.75">
      <c r="B14" s="37" t="s">
        <v>39</v>
      </c>
      <c r="C14" s="41">
        <v>120000</v>
      </c>
      <c r="D14" s="41">
        <f t="shared" si="4"/>
        <v>30000</v>
      </c>
      <c r="E14" s="23">
        <f t="shared" si="5"/>
        <v>10000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2</v>
      </c>
      <c r="P14" s="4">
        <v>2</v>
      </c>
      <c r="Q14" s="4">
        <v>2</v>
      </c>
      <c r="R14" s="4"/>
      <c r="S14" s="4">
        <v>3</v>
      </c>
      <c r="T14" s="4">
        <f t="shared" si="10"/>
        <v>3</v>
      </c>
      <c r="U14" s="4">
        <f t="shared" si="10"/>
        <v>3</v>
      </c>
      <c r="V14" s="4">
        <f t="shared" si="10"/>
        <v>3</v>
      </c>
      <c r="W14" s="4"/>
      <c r="X14" s="4">
        <v>4</v>
      </c>
      <c r="Y14" s="4">
        <v>4</v>
      </c>
      <c r="Z14" s="4">
        <v>4</v>
      </c>
      <c r="AA14" s="4">
        <f t="shared" si="11"/>
        <v>4</v>
      </c>
      <c r="AB14" s="4"/>
      <c r="AC14" s="4">
        <v>6</v>
      </c>
      <c r="AD14" s="4">
        <v>6</v>
      </c>
      <c r="AE14" s="4">
        <v>6</v>
      </c>
      <c r="AF14" s="4">
        <f>AE14</f>
        <v>6</v>
      </c>
      <c r="AG14" s="4"/>
      <c r="AH14" s="4">
        <v>8</v>
      </c>
      <c r="AI14" s="4">
        <v>8</v>
      </c>
      <c r="AJ14" s="4">
        <v>8</v>
      </c>
      <c r="AK14" s="4">
        <v>8</v>
      </c>
    </row>
    <row r="15" spans="6:37" ht="12.7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2:37" ht="12.75">
      <c r="B16" s="37" t="s">
        <v>48</v>
      </c>
      <c r="C16" s="39"/>
      <c r="D16" s="39"/>
      <c r="F16" s="4">
        <f aca="true" t="shared" si="12" ref="F16:V16">SUM(F4:F14)</f>
        <v>6</v>
      </c>
      <c r="G16" s="4">
        <f t="shared" si="12"/>
        <v>6</v>
      </c>
      <c r="H16" s="4">
        <f t="shared" si="12"/>
        <v>6</v>
      </c>
      <c r="I16" s="4">
        <f t="shared" si="12"/>
        <v>6</v>
      </c>
      <c r="J16" s="4">
        <f t="shared" si="12"/>
        <v>6</v>
      </c>
      <c r="K16" s="4">
        <f t="shared" si="12"/>
        <v>11</v>
      </c>
      <c r="L16" s="4">
        <f t="shared" si="12"/>
        <v>15</v>
      </c>
      <c r="M16" s="4">
        <f t="shared" si="12"/>
        <v>16</v>
      </c>
      <c r="N16" s="4">
        <f t="shared" si="12"/>
        <v>16</v>
      </c>
      <c r="O16" s="4">
        <f t="shared" si="12"/>
        <v>19</v>
      </c>
      <c r="P16" s="4">
        <f t="shared" si="12"/>
        <v>22</v>
      </c>
      <c r="Q16" s="4">
        <f t="shared" si="12"/>
        <v>22</v>
      </c>
      <c r="R16" s="4"/>
      <c r="S16" s="4">
        <f t="shared" si="12"/>
        <v>27</v>
      </c>
      <c r="T16" s="4">
        <f t="shared" si="12"/>
        <v>27</v>
      </c>
      <c r="U16" s="4">
        <f t="shared" si="12"/>
        <v>27</v>
      </c>
      <c r="V16" s="4">
        <f t="shared" si="12"/>
        <v>27</v>
      </c>
      <c r="W16" s="4"/>
      <c r="X16" s="4">
        <f>SUM(X4:X14)</f>
        <v>32</v>
      </c>
      <c r="Y16" s="4">
        <f>SUM(Y4:Y14)</f>
        <v>32</v>
      </c>
      <c r="Z16" s="4">
        <f>SUM(Z4:Z14)</f>
        <v>32</v>
      </c>
      <c r="AA16" s="4">
        <f>SUM(AA4:AA14)</f>
        <v>32</v>
      </c>
      <c r="AB16" s="4"/>
      <c r="AC16" s="4">
        <f>SUM(AC4:AC14)</f>
        <v>37</v>
      </c>
      <c r="AD16" s="4">
        <f>SUM(AD4:AD14)</f>
        <v>37</v>
      </c>
      <c r="AE16" s="4">
        <f>SUM(AE4:AE14)</f>
        <v>37</v>
      </c>
      <c r="AF16" s="4">
        <f>SUM(AF4:AF14)</f>
        <v>37</v>
      </c>
      <c r="AG16" s="4"/>
      <c r="AH16" s="4">
        <f>SUM(AH4:AH14)</f>
        <v>40</v>
      </c>
      <c r="AI16" s="4">
        <f>SUM(AI4:AI14)</f>
        <v>40</v>
      </c>
      <c r="AJ16" s="4">
        <f>SUM(AJ4:AJ14)</f>
        <v>40</v>
      </c>
      <c r="AK16" s="4">
        <f>SUM(AK4:AK14)</f>
        <v>40</v>
      </c>
    </row>
    <row r="17" spans="2:37" ht="12.75">
      <c r="B17" s="37" t="s">
        <v>63</v>
      </c>
      <c r="C17" s="39"/>
      <c r="D17" s="39"/>
      <c r="F17" s="4">
        <v>0</v>
      </c>
      <c r="G17" s="4">
        <f aca="true" t="shared" si="13" ref="G17:Q17">G16-F16</f>
        <v>0</v>
      </c>
      <c r="H17" s="4">
        <f t="shared" si="13"/>
        <v>0</v>
      </c>
      <c r="I17" s="4">
        <f t="shared" si="13"/>
        <v>0</v>
      </c>
      <c r="J17" s="4">
        <f t="shared" si="13"/>
        <v>0</v>
      </c>
      <c r="K17" s="4">
        <f t="shared" si="13"/>
        <v>5</v>
      </c>
      <c r="L17" s="4">
        <f t="shared" si="13"/>
        <v>4</v>
      </c>
      <c r="M17" s="4">
        <f t="shared" si="13"/>
        <v>1</v>
      </c>
      <c r="N17" s="4">
        <f t="shared" si="13"/>
        <v>0</v>
      </c>
      <c r="O17" s="4">
        <f t="shared" si="13"/>
        <v>3</v>
      </c>
      <c r="P17" s="4">
        <f t="shared" si="13"/>
        <v>3</v>
      </c>
      <c r="Q17" s="4">
        <f t="shared" si="13"/>
        <v>0</v>
      </c>
      <c r="R17" s="4"/>
      <c r="S17" s="4">
        <f>S16-Q16</f>
        <v>5</v>
      </c>
      <c r="T17" s="4">
        <f>T16-S16</f>
        <v>0</v>
      </c>
      <c r="U17" s="4">
        <f>U16-T16</f>
        <v>0</v>
      </c>
      <c r="V17" s="4">
        <f>V16-U16</f>
        <v>0</v>
      </c>
      <c r="W17" s="4"/>
      <c r="X17" s="4">
        <f>X16-V16</f>
        <v>5</v>
      </c>
      <c r="Y17" s="4">
        <f>Y16-X16</f>
        <v>0</v>
      </c>
      <c r="Z17" s="4">
        <f>Z16-Y16</f>
        <v>0</v>
      </c>
      <c r="AA17" s="4">
        <f>AA16-Z16</f>
        <v>0</v>
      </c>
      <c r="AB17" s="4"/>
      <c r="AC17" s="4">
        <f>AC16-AA16</f>
        <v>5</v>
      </c>
      <c r="AD17" s="4">
        <f>AD16-AC16</f>
        <v>0</v>
      </c>
      <c r="AE17" s="4">
        <f>AE16-AD16</f>
        <v>0</v>
      </c>
      <c r="AF17" s="4">
        <f>AF16-AE16</f>
        <v>0</v>
      </c>
      <c r="AG17" s="4"/>
      <c r="AH17" s="4">
        <f>AH16-AF16</f>
        <v>3</v>
      </c>
      <c r="AI17" s="4">
        <f>AI16-AH16</f>
        <v>0</v>
      </c>
      <c r="AJ17" s="4">
        <f>AJ16-AI16</f>
        <v>0</v>
      </c>
      <c r="AK17" s="4">
        <f>AK16-AJ16</f>
        <v>0</v>
      </c>
    </row>
    <row r="18" spans="3:4" ht="12.75">
      <c r="C18" s="40"/>
      <c r="D18" s="40"/>
    </row>
    <row r="19" spans="2:37" ht="12.75">
      <c r="B19" s="37" t="s">
        <v>49</v>
      </c>
      <c r="F19" s="23">
        <f>$E$4*F4+$E$5*F5+$E$6*F6+$E$8*F8+$E$10*F10+$E$12*F12+$E$13*F13+$E$14*F14+F11*$E$11+E7*F7</f>
        <v>59583.333333333336</v>
      </c>
      <c r="G19" s="23">
        <f aca="true" t="shared" si="14" ref="G19:Q19">$E$4*G4+$E$5*G5+$E$6*G6+$E$8*G8+$E$10*G10+$E$12*G12+$E$13*G13+$E$14*G14+G11*$E$11+F7*G7</f>
        <v>59583.333333333336</v>
      </c>
      <c r="H19" s="23">
        <f t="shared" si="14"/>
        <v>59583.333333333336</v>
      </c>
      <c r="I19" s="23">
        <f t="shared" si="14"/>
        <v>59583.333333333336</v>
      </c>
      <c r="J19" s="23">
        <f t="shared" si="14"/>
        <v>59583.333333333336</v>
      </c>
      <c r="K19" s="23">
        <f t="shared" si="14"/>
        <v>101250</v>
      </c>
      <c r="L19" s="23">
        <f t="shared" si="14"/>
        <v>134584.33333333334</v>
      </c>
      <c r="M19" s="23">
        <f t="shared" si="14"/>
        <v>142917.6666666667</v>
      </c>
      <c r="N19" s="23">
        <f t="shared" si="14"/>
        <v>142917.6666666667</v>
      </c>
      <c r="O19" s="23">
        <f t="shared" si="14"/>
        <v>172084.33333333334</v>
      </c>
      <c r="P19" s="23">
        <f t="shared" si="14"/>
        <v>197501</v>
      </c>
      <c r="Q19" s="23">
        <f t="shared" si="14"/>
        <v>197501</v>
      </c>
      <c r="R19" s="41"/>
      <c r="S19" s="41">
        <f>$D$4*S4+$D$5*S5+$D$6*S6+$D$8*S8+$D$10*S10+$D$12*S12+$D$13*S13+$D$14*S14+S11*$D$11+S7*D7</f>
        <v>741250</v>
      </c>
      <c r="T19" s="41">
        <f>$D$4*T4+$D$5*T5+$D$6*T6+$D$8*T8+$D$10*T10+$D$12*T12+$D$13*T13+$D$14*T14+T11*$D$11+T7*E7</f>
        <v>718750</v>
      </c>
      <c r="U19" s="41">
        <f>$D$4*U4+$D$5*U5+$D$6*U6+$D$8*U8+$D$10*U10+$D$12*U12+$D$13*U13+$D$14*U14+U11*$D$11+U7*F7</f>
        <v>707500</v>
      </c>
      <c r="V19" s="41">
        <f>$D$4*V4+$D$5*V5+$D$6*V6+$D$8*V8+$D$10*V10+$D$12*V12+$D$13*V13+$D$14*V14+V11*$D$11+V7*G7</f>
        <v>707500</v>
      </c>
      <c r="W19" s="41"/>
      <c r="X19" s="41">
        <f>$D$4*X4+$D$5*X5+$D$6*X6+$D$8*X8+$D$10*X10+$D$12*X12+$D$13*X13+$D$14*X14+X11*$D$11+X7*I7</f>
        <v>832500</v>
      </c>
      <c r="Y19" s="41">
        <f>$D$4*Y4+$D$5*Y5+$D$6*Y6+$D$8*Y8+$D$10*Y10+$D$12*Y12+$D$13*Y13+$D$14*Y14+Y11*$D$11+Y7*J7</f>
        <v>832500</v>
      </c>
      <c r="Z19" s="41">
        <f>$D$4*Z4+$D$5*Z5+$D$6*Z6+$D$8*Z8+$D$10*Z10+$D$12*Z12+$D$13*Z13+$D$14*Z14+Z11*$D$11+Z7*K7</f>
        <v>832501</v>
      </c>
      <c r="AA19" s="41">
        <f>$D$4*AA4+$D$5*AA5+$D$6*AA6+$D$8*AA8+$D$10*AA10+$D$12*AA12+$D$13*AA13+$D$14*AA14+AA11*$D$11+AA7*L7</f>
        <v>832501</v>
      </c>
      <c r="AB19" s="41"/>
      <c r="AC19" s="41">
        <f>$D$4*AC4+$D$5*AC5+$D$6*AC6+$D$8*AC8+$D$10*AC10+$D$12*AC12+$D$13*AC13+$D$14*AC14+AC11*$D$11+AC7*N7</f>
        <v>955001</v>
      </c>
      <c r="AD19" s="41">
        <f>$D$4*AD4+$D$5*AD5+$D$6*AD6+$D$8*AD8+$D$10*AD10+$D$12*AD12+$D$13*AD13+$D$14*AD14+AD11*$D$11+AD7*O7</f>
        <v>955001</v>
      </c>
      <c r="AE19" s="41">
        <f>$D$4*AE4+$D$5*AE5+$D$6*AE6+$D$8*AE8+$D$10*AE10+$D$12*AE12+$D$13*AE13+$D$14*AE14+AE11*$D$11+AE7*P7</f>
        <v>955001</v>
      </c>
      <c r="AF19" s="41">
        <f>$D$4*AF4+$D$5*AF5+$D$6*AF6+$D$8*AF8+$D$10*AF10+$D$12*AF12+$D$13*AF13+$D$14*AF14+AF11*$D$11+AF7*Q7</f>
        <v>955001</v>
      </c>
      <c r="AG19" s="41"/>
      <c r="AH19" s="41">
        <f>$D$4*AH4+$D$5*AH5+$D$6*AH6+$D$8*AH8+$D$10*AH10+$D$12*AH12+$D$13*AH13+$D$14*AH14+AH11*$D$11+AH7*S7</f>
        <v>1040001</v>
      </c>
      <c r="AI19" s="41">
        <f>$D$4*AI4+$D$5*AI5+$D$6*AI6+$D$8*AI8+$D$10*AI10+$D$12*AI12+$D$13*AI13+$D$14*AI14+AI11*$D$11+AI7*T7</f>
        <v>1040001</v>
      </c>
      <c r="AJ19" s="41">
        <f>$D$4*AJ4+$D$5*AJ5+$D$6*AJ6+$D$8*AJ8+$D$10*AJ10+$D$12*AJ12+$D$13*AJ13+$D$14*AJ14+AJ11*$D$11+AJ7*U7</f>
        <v>1040001</v>
      </c>
      <c r="AK19" s="41">
        <f>$D$4*AK4+$D$5*AK5+$D$6*AK6+$D$8*AK8+$D$10*AK10+$D$12*AK12+$D$13*AK13+$D$14*AK14+AK11*$D$11+AK7*V7</f>
        <v>1040001</v>
      </c>
    </row>
    <row r="20" spans="2:37" ht="12.75">
      <c r="B20" t="s">
        <v>50</v>
      </c>
      <c r="F20" s="41">
        <f aca="true" t="shared" si="15" ref="F20:Q20">F19*15%</f>
        <v>8937.5</v>
      </c>
      <c r="G20" s="41">
        <f t="shared" si="15"/>
        <v>8937.5</v>
      </c>
      <c r="H20" s="41">
        <f t="shared" si="15"/>
        <v>8937.5</v>
      </c>
      <c r="I20" s="41">
        <f t="shared" si="15"/>
        <v>8937.5</v>
      </c>
      <c r="J20" s="41">
        <f t="shared" si="15"/>
        <v>8937.5</v>
      </c>
      <c r="K20" s="41">
        <f t="shared" si="15"/>
        <v>15187.5</v>
      </c>
      <c r="L20" s="41">
        <f t="shared" si="15"/>
        <v>20187.65</v>
      </c>
      <c r="M20" s="41">
        <f t="shared" si="15"/>
        <v>21437.65</v>
      </c>
      <c r="N20" s="41">
        <f t="shared" si="15"/>
        <v>21437.65</v>
      </c>
      <c r="O20" s="41">
        <f t="shared" si="15"/>
        <v>25812.65</v>
      </c>
      <c r="P20" s="41">
        <f t="shared" si="15"/>
        <v>29625.149999999998</v>
      </c>
      <c r="Q20" s="41">
        <f t="shared" si="15"/>
        <v>29625.149999999998</v>
      </c>
      <c r="R20" s="41"/>
      <c r="S20" s="41">
        <f>S19*15%</f>
        <v>111187.5</v>
      </c>
      <c r="T20" s="41">
        <f>T19*15%</f>
        <v>107812.5</v>
      </c>
      <c r="U20" s="41">
        <f>U19*15%</f>
        <v>106125</v>
      </c>
      <c r="V20" s="41">
        <f>V19*15%</f>
        <v>106125</v>
      </c>
      <c r="W20" s="41"/>
      <c r="X20" s="41">
        <f>X19*15%</f>
        <v>124875</v>
      </c>
      <c r="Y20" s="41">
        <f>Y19*15%</f>
        <v>124875</v>
      </c>
      <c r="Z20" s="41">
        <f>Z19*15%</f>
        <v>124875.15</v>
      </c>
      <c r="AA20" s="41">
        <f>AA19*15%</f>
        <v>124875.15</v>
      </c>
      <c r="AB20" s="41"/>
      <c r="AC20" s="41">
        <f>AC19*15%</f>
        <v>143250.15</v>
      </c>
      <c r="AD20" s="41">
        <f>AD19*15%</f>
        <v>143250.15</v>
      </c>
      <c r="AE20" s="41">
        <f>AE19*15%</f>
        <v>143250.15</v>
      </c>
      <c r="AF20" s="41">
        <f>AF19*15%</f>
        <v>143250.15</v>
      </c>
      <c r="AG20" s="41"/>
      <c r="AH20" s="41">
        <f>AH19*15%</f>
        <v>156000.15</v>
      </c>
      <c r="AI20" s="41">
        <f>AI19*15%</f>
        <v>156000.15</v>
      </c>
      <c r="AJ20" s="41">
        <f>AJ19*15%</f>
        <v>156000.15</v>
      </c>
      <c r="AK20" s="41">
        <f>AK19*15%</f>
        <v>156000.15</v>
      </c>
    </row>
    <row r="21" spans="2:37" ht="12.75">
      <c r="B21" s="37" t="s">
        <v>54</v>
      </c>
      <c r="F21" s="41">
        <f aca="true" t="shared" si="16" ref="F21:K21">$E$4*-50%</f>
        <v>-9375</v>
      </c>
      <c r="G21" s="41">
        <f t="shared" si="16"/>
        <v>-9375</v>
      </c>
      <c r="H21" s="41">
        <f t="shared" si="16"/>
        <v>-9375</v>
      </c>
      <c r="I21" s="41">
        <f t="shared" si="16"/>
        <v>-9375</v>
      </c>
      <c r="J21" s="41">
        <f t="shared" si="16"/>
        <v>-9375</v>
      </c>
      <c r="K21" s="41">
        <f t="shared" si="16"/>
        <v>-9375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2:37" ht="12.75">
      <c r="B22" s="37" t="s">
        <v>51</v>
      </c>
      <c r="F22" s="23">
        <f>SUM(F19:F21)</f>
        <v>59145.83333333334</v>
      </c>
      <c r="G22" s="23">
        <f aca="true" t="shared" si="17" ref="G22:AA22">SUM(G19:G21)</f>
        <v>59145.83333333334</v>
      </c>
      <c r="H22" s="23">
        <f t="shared" si="17"/>
        <v>59145.83333333334</v>
      </c>
      <c r="I22" s="23">
        <f t="shared" si="17"/>
        <v>59145.83333333334</v>
      </c>
      <c r="J22" s="23">
        <f t="shared" si="17"/>
        <v>59145.83333333334</v>
      </c>
      <c r="K22" s="23">
        <f t="shared" si="17"/>
        <v>107062.5</v>
      </c>
      <c r="L22" s="23">
        <f t="shared" si="17"/>
        <v>154771.98333333334</v>
      </c>
      <c r="M22" s="23">
        <f t="shared" si="17"/>
        <v>164355.31666666668</v>
      </c>
      <c r="N22" s="23">
        <f t="shared" si="17"/>
        <v>164355.31666666668</v>
      </c>
      <c r="O22" s="23">
        <f t="shared" si="17"/>
        <v>197896.98333333334</v>
      </c>
      <c r="P22" s="23">
        <f t="shared" si="17"/>
        <v>227126.15</v>
      </c>
      <c r="Q22" s="23">
        <f t="shared" si="17"/>
        <v>227126.15</v>
      </c>
      <c r="R22" s="23"/>
      <c r="S22" s="23">
        <f t="shared" si="17"/>
        <v>852437.5</v>
      </c>
      <c r="T22" s="23">
        <f t="shared" si="17"/>
        <v>826562.5</v>
      </c>
      <c r="U22" s="23">
        <f t="shared" si="17"/>
        <v>813625</v>
      </c>
      <c r="V22" s="23">
        <f t="shared" si="17"/>
        <v>813625</v>
      </c>
      <c r="W22" s="23"/>
      <c r="X22" s="23">
        <f t="shared" si="17"/>
        <v>957375</v>
      </c>
      <c r="Y22" s="23">
        <f t="shared" si="17"/>
        <v>957375</v>
      </c>
      <c r="Z22" s="23">
        <f t="shared" si="17"/>
        <v>957376.15</v>
      </c>
      <c r="AA22" s="23">
        <f t="shared" si="17"/>
        <v>957376.15</v>
      </c>
      <c r="AB22" s="23"/>
      <c r="AC22" s="23">
        <f>SUM(AC19:AC21)</f>
        <v>1098251.15</v>
      </c>
      <c r="AD22" s="23">
        <f>SUM(AD19:AD21)</f>
        <v>1098251.15</v>
      </c>
      <c r="AE22" s="23">
        <f>SUM(AE19:AE21)</f>
        <v>1098251.15</v>
      </c>
      <c r="AF22" s="23">
        <f>SUM(AF19:AF21)</f>
        <v>1098251.15</v>
      </c>
      <c r="AG22" s="23"/>
      <c r="AH22" s="23">
        <f>SUM(AH19:AH21)</f>
        <v>1196001.15</v>
      </c>
      <c r="AI22" s="23">
        <f>SUM(AI19:AI21)</f>
        <v>1196001.15</v>
      </c>
      <c r="AJ22" s="23">
        <f>SUM(AJ19:AJ21)</f>
        <v>1196001.15</v>
      </c>
      <c r="AK22" s="23">
        <f>SUM(AK19:AK21)</f>
        <v>1196001.15</v>
      </c>
    </row>
    <row r="23" spans="2:37" ht="12.75">
      <c r="B23" s="37"/>
      <c r="F23" s="23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37" ht="12" customHeight="1">
      <c r="B24" s="110" t="s">
        <v>87</v>
      </c>
      <c r="F24" s="2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2:37" ht="12" customHeight="1">
      <c r="B25" s="111" t="s">
        <v>53</v>
      </c>
      <c r="F25" s="23">
        <f>F17*2000</f>
        <v>0</v>
      </c>
      <c r="G25" s="23">
        <f>G17*2000</f>
        <v>0</v>
      </c>
      <c r="H25" s="23">
        <f>H17*2250</f>
        <v>0</v>
      </c>
      <c r="I25" s="23">
        <f aca="true" t="shared" si="18" ref="I25:Q25">I17*2250</f>
        <v>0</v>
      </c>
      <c r="J25" s="23">
        <f t="shared" si="18"/>
        <v>0</v>
      </c>
      <c r="K25" s="23">
        <f t="shared" si="18"/>
        <v>11250</v>
      </c>
      <c r="L25" s="23">
        <f t="shared" si="18"/>
        <v>9000</v>
      </c>
      <c r="M25" s="23">
        <f t="shared" si="18"/>
        <v>2250</v>
      </c>
      <c r="N25" s="23">
        <f>N17*2250+5000</f>
        <v>5000</v>
      </c>
      <c r="O25" s="23">
        <f t="shared" si="18"/>
        <v>6750</v>
      </c>
      <c r="P25" s="23">
        <f t="shared" si="18"/>
        <v>6750</v>
      </c>
      <c r="Q25" s="23">
        <f t="shared" si="18"/>
        <v>0</v>
      </c>
      <c r="R25" s="23"/>
      <c r="S25" s="23">
        <f>S17*2500</f>
        <v>12500</v>
      </c>
      <c r="T25" s="23">
        <f>T17*2500+5000</f>
        <v>5000</v>
      </c>
      <c r="U25" s="23">
        <f>U17*2500+5000</f>
        <v>5000</v>
      </c>
      <c r="V25" s="23">
        <f>V17*2500+5000</f>
        <v>5000</v>
      </c>
      <c r="W25" s="23"/>
      <c r="X25" s="23">
        <f>X17*2500</f>
        <v>12500</v>
      </c>
      <c r="Y25" s="23">
        <f>Y17*2500+10000</f>
        <v>10000</v>
      </c>
      <c r="Z25" s="23">
        <f>Z17*2500+10000</f>
        <v>10000</v>
      </c>
      <c r="AA25" s="23">
        <f>AA17*2500+5000</f>
        <v>5000</v>
      </c>
      <c r="AB25" s="23"/>
      <c r="AC25" s="23">
        <f>AC17*2500</f>
        <v>12500</v>
      </c>
      <c r="AD25" s="23">
        <f>AD17*2500+20000</f>
        <v>20000</v>
      </c>
      <c r="AE25" s="23">
        <f>AE17*2500+20000</f>
        <v>20000</v>
      </c>
      <c r="AF25" s="23">
        <f>AF17*2500+10000</f>
        <v>10000</v>
      </c>
      <c r="AG25" s="23"/>
      <c r="AH25" s="23">
        <f>AH17*2500</f>
        <v>7500</v>
      </c>
      <c r="AI25" s="23">
        <f>AI17*2500+20000</f>
        <v>20000</v>
      </c>
      <c r="AJ25" s="23">
        <f>AJ17*2500+25000</f>
        <v>25000</v>
      </c>
      <c r="AK25" s="23">
        <f>AK17*2500+20000</f>
        <v>20000</v>
      </c>
    </row>
    <row r="26" spans="2:37" ht="12.75">
      <c r="B26" s="111" t="s">
        <v>54</v>
      </c>
      <c r="F26" s="23">
        <f>F17*600</f>
        <v>0</v>
      </c>
      <c r="G26" s="23">
        <f>G17*600</f>
        <v>0</v>
      </c>
      <c r="H26" s="23">
        <f>H17*750</f>
        <v>0</v>
      </c>
      <c r="I26" s="23">
        <f aca="true" t="shared" si="19" ref="I26:Q26">I17*750</f>
        <v>0</v>
      </c>
      <c r="J26" s="23">
        <f t="shared" si="19"/>
        <v>0</v>
      </c>
      <c r="K26" s="23">
        <f t="shared" si="19"/>
        <v>3750</v>
      </c>
      <c r="L26" s="23">
        <f t="shared" si="19"/>
        <v>3000</v>
      </c>
      <c r="M26" s="23">
        <f t="shared" si="19"/>
        <v>750</v>
      </c>
      <c r="N26" s="23">
        <f t="shared" si="19"/>
        <v>0</v>
      </c>
      <c r="O26" s="23">
        <f t="shared" si="19"/>
        <v>2250</v>
      </c>
      <c r="P26" s="23">
        <f t="shared" si="19"/>
        <v>2250</v>
      </c>
      <c r="Q26" s="23">
        <f t="shared" si="19"/>
        <v>0</v>
      </c>
      <c r="R26" s="23"/>
      <c r="S26" s="23">
        <f>S17*750</f>
        <v>3750</v>
      </c>
      <c r="T26" s="23">
        <f>T17*750</f>
        <v>0</v>
      </c>
      <c r="U26" s="23">
        <f>U17*750</f>
        <v>0</v>
      </c>
      <c r="V26" s="23">
        <f>V17*750</f>
        <v>0</v>
      </c>
      <c r="W26" s="23"/>
      <c r="X26" s="23">
        <f>X17*750</f>
        <v>3750</v>
      </c>
      <c r="Y26" s="23">
        <f>Y17*750</f>
        <v>0</v>
      </c>
      <c r="Z26" s="23">
        <f>Z17*750</f>
        <v>0</v>
      </c>
      <c r="AA26" s="23">
        <f>AA17*750</f>
        <v>0</v>
      </c>
      <c r="AB26" s="23"/>
      <c r="AC26" s="23">
        <f>AC17*750</f>
        <v>3750</v>
      </c>
      <c r="AD26" s="23">
        <f>AD17*750</f>
        <v>0</v>
      </c>
      <c r="AE26" s="23">
        <f>AE17*750</f>
        <v>0</v>
      </c>
      <c r="AF26" s="23">
        <f>AF17*750</f>
        <v>0</v>
      </c>
      <c r="AG26" s="23"/>
      <c r="AH26" s="23">
        <f>AH17*750</f>
        <v>2250</v>
      </c>
      <c r="AI26" s="23">
        <f>AI17*750</f>
        <v>0</v>
      </c>
      <c r="AJ26" s="23">
        <f>AJ17*750</f>
        <v>0</v>
      </c>
      <c r="AK26" s="23">
        <f>AK17*750</f>
        <v>0</v>
      </c>
    </row>
    <row r="27" spans="2:37" ht="12.75">
      <c r="B27" s="3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2:37" ht="12.75">
      <c r="B28" t="s">
        <v>80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0</v>
      </c>
      <c r="T28">
        <v>0</v>
      </c>
      <c r="U28">
        <v>0</v>
      </c>
      <c r="V28">
        <v>0</v>
      </c>
      <c r="X28">
        <v>0</v>
      </c>
      <c r="Y28">
        <v>0</v>
      </c>
      <c r="Z28">
        <v>0</v>
      </c>
      <c r="AA28">
        <v>0</v>
      </c>
      <c r="AC28">
        <v>0</v>
      </c>
      <c r="AD28">
        <v>0</v>
      </c>
      <c r="AE28">
        <v>0</v>
      </c>
      <c r="AF28">
        <v>0</v>
      </c>
      <c r="AH28">
        <v>0</v>
      </c>
      <c r="AI28">
        <v>0</v>
      </c>
      <c r="AJ28">
        <v>0</v>
      </c>
      <c r="AK28">
        <v>0</v>
      </c>
    </row>
    <row r="29" spans="2:37" ht="12.75">
      <c r="B29" t="s">
        <v>84</v>
      </c>
      <c r="F29">
        <f aca="true" t="shared" si="20" ref="F29:AA29">(F14+F10)</f>
        <v>0</v>
      </c>
      <c r="G29">
        <f t="shared" si="20"/>
        <v>0</v>
      </c>
      <c r="H29">
        <f t="shared" si="20"/>
        <v>0</v>
      </c>
      <c r="I29">
        <f t="shared" si="20"/>
        <v>0</v>
      </c>
      <c r="J29">
        <f t="shared" si="20"/>
        <v>0</v>
      </c>
      <c r="K29">
        <f t="shared" si="20"/>
        <v>1</v>
      </c>
      <c r="L29">
        <f t="shared" si="20"/>
        <v>1</v>
      </c>
      <c r="M29">
        <f t="shared" si="20"/>
        <v>2</v>
      </c>
      <c r="N29">
        <f t="shared" si="20"/>
        <v>2</v>
      </c>
      <c r="O29">
        <f t="shared" si="20"/>
        <v>3</v>
      </c>
      <c r="P29">
        <f t="shared" si="20"/>
        <v>4</v>
      </c>
      <c r="Q29">
        <f t="shared" si="20"/>
        <v>4</v>
      </c>
      <c r="S29">
        <f t="shared" si="20"/>
        <v>6</v>
      </c>
      <c r="T29">
        <f t="shared" si="20"/>
        <v>6</v>
      </c>
      <c r="U29">
        <f t="shared" si="20"/>
        <v>6</v>
      </c>
      <c r="V29">
        <f t="shared" si="20"/>
        <v>6</v>
      </c>
      <c r="X29">
        <f t="shared" si="20"/>
        <v>7</v>
      </c>
      <c r="Y29">
        <f t="shared" si="20"/>
        <v>7</v>
      </c>
      <c r="Z29">
        <f t="shared" si="20"/>
        <v>7</v>
      </c>
      <c r="AA29">
        <f t="shared" si="20"/>
        <v>7</v>
      </c>
      <c r="AC29">
        <f>(AC14+AC10)</f>
        <v>10</v>
      </c>
      <c r="AD29">
        <f>(AD14+AD10)</f>
        <v>10</v>
      </c>
      <c r="AE29">
        <f>(AE14+AE10)</f>
        <v>10</v>
      </c>
      <c r="AF29">
        <f>(AF14+AF10)</f>
        <v>10</v>
      </c>
      <c r="AH29">
        <f>(AH14+AH10)</f>
        <v>13</v>
      </c>
      <c r="AI29">
        <f>(AI14+AI10)</f>
        <v>13</v>
      </c>
      <c r="AJ29">
        <f>(AJ14+AJ10)</f>
        <v>13</v>
      </c>
      <c r="AK29">
        <f>(AK14+AK10)</f>
        <v>13</v>
      </c>
    </row>
    <row r="30" spans="2:37" ht="12.75">
      <c r="B30" t="s">
        <v>81</v>
      </c>
      <c r="F30">
        <f aca="true" t="shared" si="21" ref="F30:S30">F4+F6</f>
        <v>1</v>
      </c>
      <c r="G30">
        <f t="shared" si="21"/>
        <v>1</v>
      </c>
      <c r="H30">
        <f t="shared" si="21"/>
        <v>1</v>
      </c>
      <c r="I30">
        <f t="shared" si="21"/>
        <v>1</v>
      </c>
      <c r="J30">
        <f>J4+J6</f>
        <v>1</v>
      </c>
      <c r="K30">
        <f t="shared" si="21"/>
        <v>2</v>
      </c>
      <c r="L30">
        <f t="shared" si="21"/>
        <v>2</v>
      </c>
      <c r="M30">
        <f t="shared" si="21"/>
        <v>2</v>
      </c>
      <c r="N30">
        <f t="shared" si="21"/>
        <v>2</v>
      </c>
      <c r="O30">
        <f t="shared" si="21"/>
        <v>2</v>
      </c>
      <c r="P30">
        <f t="shared" si="21"/>
        <v>2</v>
      </c>
      <c r="Q30">
        <f t="shared" si="21"/>
        <v>2</v>
      </c>
      <c r="S30">
        <f t="shared" si="21"/>
        <v>2</v>
      </c>
      <c r="T30">
        <f aca="true" t="shared" si="22" ref="T30:AA30">T4+T6</f>
        <v>2</v>
      </c>
      <c r="U30">
        <f t="shared" si="22"/>
        <v>2</v>
      </c>
      <c r="V30">
        <f t="shared" si="22"/>
        <v>2</v>
      </c>
      <c r="X30">
        <f t="shared" si="22"/>
        <v>2</v>
      </c>
      <c r="Y30">
        <f t="shared" si="22"/>
        <v>2</v>
      </c>
      <c r="Z30">
        <f t="shared" si="22"/>
        <v>2</v>
      </c>
      <c r="AA30">
        <f t="shared" si="22"/>
        <v>2</v>
      </c>
      <c r="AC30">
        <f>AC4+AC6</f>
        <v>2</v>
      </c>
      <c r="AD30">
        <f>AD4+AD6</f>
        <v>2</v>
      </c>
      <c r="AE30">
        <f>AE4+AE6</f>
        <v>2</v>
      </c>
      <c r="AF30">
        <f>AF4+AF6</f>
        <v>2</v>
      </c>
      <c r="AH30">
        <f>AH4+AH6</f>
        <v>2</v>
      </c>
      <c r="AI30">
        <f>AI4+AI6</f>
        <v>2</v>
      </c>
      <c r="AJ30">
        <f>AJ4+AJ6</f>
        <v>2</v>
      </c>
      <c r="AK30">
        <f>AK4+AK6</f>
        <v>2</v>
      </c>
    </row>
    <row r="31" spans="2:37" ht="12.75">
      <c r="B31" t="s">
        <v>82</v>
      </c>
      <c r="C31" s="41">
        <v>2000</v>
      </c>
      <c r="F31" s="41">
        <f>(F29+F30)*$C$31</f>
        <v>2000</v>
      </c>
      <c r="G31" s="41">
        <f aca="true" t="shared" si="23" ref="G31:Q31">(G29+G30)*$C$31</f>
        <v>2000</v>
      </c>
      <c r="H31" s="41">
        <f t="shared" si="23"/>
        <v>2000</v>
      </c>
      <c r="I31" s="41">
        <f t="shared" si="23"/>
        <v>2000</v>
      </c>
      <c r="J31" s="41">
        <f t="shared" si="23"/>
        <v>2000</v>
      </c>
      <c r="K31" s="41">
        <f t="shared" si="23"/>
        <v>6000</v>
      </c>
      <c r="L31" s="41">
        <f t="shared" si="23"/>
        <v>6000</v>
      </c>
      <c r="M31" s="41">
        <f t="shared" si="23"/>
        <v>8000</v>
      </c>
      <c r="N31" s="41">
        <f t="shared" si="23"/>
        <v>8000</v>
      </c>
      <c r="O31" s="41">
        <f t="shared" si="23"/>
        <v>10000</v>
      </c>
      <c r="P31" s="41">
        <f t="shared" si="23"/>
        <v>12000</v>
      </c>
      <c r="Q31" s="41">
        <f t="shared" si="23"/>
        <v>12000</v>
      </c>
      <c r="S31" s="51">
        <f>(S29+S30)*(3*$C$31)</f>
        <v>48000</v>
      </c>
      <c r="T31" s="51">
        <f>(T29+T30)*(3*$C$31)</f>
        <v>48000</v>
      </c>
      <c r="U31" s="51">
        <f>(U29+U30)*(3*$C$31)</f>
        <v>48000</v>
      </c>
      <c r="V31" s="51">
        <f>(V29+V30)*(3*$C$31)</f>
        <v>48000</v>
      </c>
      <c r="X31" s="51">
        <f>(X29+X30)*(3*$C$31)</f>
        <v>54000</v>
      </c>
      <c r="Y31" s="51">
        <f>(Y29+Y30)*(3*$C$31)</f>
        <v>54000</v>
      </c>
      <c r="Z31" s="51">
        <f>(Z29+Z30)*(3*$C$31)</f>
        <v>54000</v>
      </c>
      <c r="AA31" s="51">
        <f>(AA29+AA30)*(3*$C$31)</f>
        <v>54000</v>
      </c>
      <c r="AC31" s="51">
        <f>(AC29+AC30)*(3*$C$31)</f>
        <v>72000</v>
      </c>
      <c r="AD31" s="51">
        <f>(AD29+AD30)*(3*$C$31)</f>
        <v>72000</v>
      </c>
      <c r="AE31" s="51">
        <f>(AE29+AE30)*(3*$C$31)</f>
        <v>72000</v>
      </c>
      <c r="AF31" s="51">
        <f>(AF29+AF30)*(3*$C$31)</f>
        <v>72000</v>
      </c>
      <c r="AH31" s="51">
        <f>(AH29+AH30)*(3*$C$31)</f>
        <v>90000</v>
      </c>
      <c r="AI31" s="51">
        <f>(AI29+AI30)*(3*$C$31)</f>
        <v>90000</v>
      </c>
      <c r="AJ31" s="51">
        <f>(AJ29+AJ30)*(3*$C$31)</f>
        <v>90000</v>
      </c>
      <c r="AK31" s="51">
        <f>(AK29+AK30)*(3*$C$31)</f>
        <v>90000</v>
      </c>
    </row>
    <row r="32" spans="2:37" ht="12.75">
      <c r="B32" t="s">
        <v>83</v>
      </c>
      <c r="C32" s="41">
        <v>1000</v>
      </c>
      <c r="F32" s="41">
        <f aca="true" t="shared" si="24" ref="F32:Q32">(F29+F30)*$C$32</f>
        <v>1000</v>
      </c>
      <c r="G32" s="41">
        <f t="shared" si="24"/>
        <v>1000</v>
      </c>
      <c r="H32" s="41">
        <f t="shared" si="24"/>
        <v>1000</v>
      </c>
      <c r="I32" s="41">
        <f t="shared" si="24"/>
        <v>1000</v>
      </c>
      <c r="J32" s="41">
        <f t="shared" si="24"/>
        <v>1000</v>
      </c>
      <c r="K32" s="41">
        <f t="shared" si="24"/>
        <v>3000</v>
      </c>
      <c r="L32" s="41">
        <f t="shared" si="24"/>
        <v>3000</v>
      </c>
      <c r="M32" s="41">
        <f t="shared" si="24"/>
        <v>4000</v>
      </c>
      <c r="N32" s="41">
        <f t="shared" si="24"/>
        <v>4000</v>
      </c>
      <c r="O32" s="41">
        <f t="shared" si="24"/>
        <v>5000</v>
      </c>
      <c r="P32" s="41">
        <f t="shared" si="24"/>
        <v>6000</v>
      </c>
      <c r="Q32" s="41">
        <f t="shared" si="24"/>
        <v>6000</v>
      </c>
      <c r="S32" s="51">
        <f>(S29+S30)*(3*$C$32)</f>
        <v>24000</v>
      </c>
      <c r="T32" s="51">
        <f aca="true" t="shared" si="25" ref="T32:AA32">(T29+T30)*(3*$C$32)</f>
        <v>24000</v>
      </c>
      <c r="U32" s="51">
        <f t="shared" si="25"/>
        <v>24000</v>
      </c>
      <c r="V32" s="51">
        <f t="shared" si="25"/>
        <v>24000</v>
      </c>
      <c r="X32" s="51">
        <f t="shared" si="25"/>
        <v>27000</v>
      </c>
      <c r="Y32" s="51">
        <f t="shared" si="25"/>
        <v>27000</v>
      </c>
      <c r="Z32" s="51">
        <f t="shared" si="25"/>
        <v>27000</v>
      </c>
      <c r="AA32" s="51">
        <f t="shared" si="25"/>
        <v>27000</v>
      </c>
      <c r="AC32" s="51">
        <f>(AC29+AC30)*(3*$C$32)</f>
        <v>36000</v>
      </c>
      <c r="AD32" s="51">
        <f>(AD29+AD30)*(3*$C$32)</f>
        <v>36000</v>
      </c>
      <c r="AE32" s="51">
        <f>(AE29+AE30)*(3*$C$32)</f>
        <v>36000</v>
      </c>
      <c r="AF32" s="51">
        <f>(AF29+AF30)*(3*$C$32)</f>
        <v>36000</v>
      </c>
      <c r="AH32" s="51">
        <f>(AH29+AH30)*(3*$C$32)</f>
        <v>45000</v>
      </c>
      <c r="AI32" s="51">
        <f>(AI29+AI30)*(3*$C$32)</f>
        <v>45000</v>
      </c>
      <c r="AJ32" s="51">
        <f>(AJ29+AJ30)*(3*$C$32)</f>
        <v>45000</v>
      </c>
      <c r="AK32" s="51">
        <f>(AK29+AK30)*(3*$C$32)</f>
        <v>45000</v>
      </c>
    </row>
    <row r="35" spans="2:37" ht="12.75">
      <c r="B35" t="s">
        <v>143</v>
      </c>
      <c r="F35" s="29">
        <f>'Balance Sheet'!D10+'Balance Sheet'!D11</f>
        <v>50063.39</v>
      </c>
      <c r="G35" s="29">
        <f>F37+G25+G26</f>
        <v>47909.39</v>
      </c>
      <c r="H35" s="29">
        <f aca="true" t="shared" si="26" ref="H35:Q35">G37+H25+H26</f>
        <v>47110.900166666666</v>
      </c>
      <c r="I35" s="29">
        <f t="shared" si="26"/>
        <v>46325.718497222224</v>
      </c>
      <c r="J35" s="29">
        <f t="shared" si="26"/>
        <v>45553.623188935184</v>
      </c>
      <c r="K35" s="29">
        <f t="shared" si="26"/>
        <v>59794.396135786264</v>
      </c>
      <c r="L35" s="29">
        <f t="shared" si="26"/>
        <v>70797.8228668565</v>
      </c>
      <c r="M35" s="29">
        <f t="shared" si="26"/>
        <v>72617.85915240888</v>
      </c>
      <c r="N35" s="29">
        <f t="shared" si="26"/>
        <v>76407.56149986874</v>
      </c>
      <c r="O35" s="29">
        <f t="shared" si="26"/>
        <v>84134.10214153759</v>
      </c>
      <c r="P35" s="29">
        <f t="shared" si="26"/>
        <v>91731.86710584529</v>
      </c>
      <c r="Q35" s="29">
        <f t="shared" si="26"/>
        <v>90203.0026540812</v>
      </c>
      <c r="R35" s="29"/>
      <c r="S35" s="29">
        <f>Q37+S25+S26</f>
        <v>104949.61927651317</v>
      </c>
      <c r="T35" s="29">
        <f>S37+T25+T26</f>
        <v>104702.13831268752</v>
      </c>
      <c r="U35" s="29">
        <f>T37+U25+U26</f>
        <v>104467.03139705314</v>
      </c>
      <c r="V35" s="29">
        <f>U37+V25+V26</f>
        <v>104243.67982720048</v>
      </c>
      <c r="W35" s="29"/>
      <c r="X35" s="29">
        <f>V37+X25+X26</f>
        <v>115281.49583584045</v>
      </c>
      <c r="Y35" s="29">
        <f>X37+Y25+Y26</f>
        <v>119517.42104404843</v>
      </c>
      <c r="Z35" s="29">
        <f>Y37+Z25+Z26</f>
        <v>123541.54999184601</v>
      </c>
      <c r="AA35" s="29">
        <f>Z37+AA25+AA26</f>
        <v>122364.47249225371</v>
      </c>
      <c r="AB35" s="29"/>
      <c r="AC35" s="29">
        <f>AA37+AC25+AC26</f>
        <v>132496.24886764103</v>
      </c>
      <c r="AD35" s="29">
        <f>AC37+AD25+AD26</f>
        <v>145871.43642425898</v>
      </c>
      <c r="AE35" s="29">
        <f>AD37+AE25+AE26</f>
        <v>158577.86460304604</v>
      </c>
      <c r="AF35" s="29">
        <f>AE37+AF25+AF26</f>
        <v>160648.97137289372</v>
      </c>
      <c r="AG35" s="29"/>
      <c r="AH35" s="29">
        <f>AF37+AH25+AH26</f>
        <v>162366.52280424902</v>
      </c>
      <c r="AI35" s="29">
        <f>AH37+AI25+AI26</f>
        <v>174248.19666403657</v>
      </c>
      <c r="AJ35" s="29">
        <f>AI37+AJ25+AJ26</f>
        <v>190535.78683083475</v>
      </c>
      <c r="AK35" s="29">
        <f>AJ37+AK25+AK26</f>
        <v>201008.99748929302</v>
      </c>
    </row>
    <row r="36" spans="2:37" ht="12.75">
      <c r="B36" t="s">
        <v>15</v>
      </c>
      <c r="F36" s="29">
        <f>'Balance Sheet'!D12</f>
        <v>-2154</v>
      </c>
      <c r="G36" s="135">
        <f>G35/-60</f>
        <v>-798.4898333333333</v>
      </c>
      <c r="H36" s="135">
        <f aca="true" t="shared" si="27" ref="H36:Q36">H35/-60</f>
        <v>-785.1816694444444</v>
      </c>
      <c r="I36" s="29">
        <f t="shared" si="27"/>
        <v>-772.095308287037</v>
      </c>
      <c r="J36" s="29">
        <f t="shared" si="27"/>
        <v>-759.2270531489197</v>
      </c>
      <c r="K36" s="29">
        <f t="shared" si="27"/>
        <v>-996.5732689297711</v>
      </c>
      <c r="L36" s="29">
        <f t="shared" si="27"/>
        <v>-1179.9637144476083</v>
      </c>
      <c r="M36" s="29">
        <f t="shared" si="27"/>
        <v>-1210.297652540148</v>
      </c>
      <c r="N36" s="29">
        <f t="shared" si="27"/>
        <v>-1273.4593583311457</v>
      </c>
      <c r="O36" s="29">
        <f t="shared" si="27"/>
        <v>-1402.2350356922932</v>
      </c>
      <c r="P36" s="29">
        <f t="shared" si="27"/>
        <v>-1528.8644517640882</v>
      </c>
      <c r="Q36" s="29">
        <f t="shared" si="27"/>
        <v>-1503.38337756802</v>
      </c>
      <c r="R36" s="29"/>
      <c r="S36" s="29">
        <f>S35/-20</f>
        <v>-5247.480963825658</v>
      </c>
      <c r="T36" s="29">
        <f>T35/-20</f>
        <v>-5235.106915634376</v>
      </c>
      <c r="U36" s="29">
        <f>U35/-20</f>
        <v>-5223.351569852657</v>
      </c>
      <c r="V36" s="29">
        <f>V35/-20</f>
        <v>-5212.183991360024</v>
      </c>
      <c r="W36" s="29"/>
      <c r="X36" s="29">
        <f>X35/-20</f>
        <v>-5764.074791792023</v>
      </c>
      <c r="Y36" s="29">
        <f>Y35/-20</f>
        <v>-5975.871052202421</v>
      </c>
      <c r="Z36" s="29">
        <f>Z35/-20</f>
        <v>-6177.0774995923</v>
      </c>
      <c r="AA36" s="29">
        <f>AA35/-20</f>
        <v>-6118.223624612686</v>
      </c>
      <c r="AB36" s="29"/>
      <c r="AC36" s="29">
        <f>AC35/-20</f>
        <v>-6624.812443382051</v>
      </c>
      <c r="AD36" s="29">
        <f>AD35/-20</f>
        <v>-7293.571821212949</v>
      </c>
      <c r="AE36" s="29">
        <f>AE35/-20</f>
        <v>-7928.893230152302</v>
      </c>
      <c r="AF36" s="29">
        <f>AF35/-20</f>
        <v>-8032.448568644686</v>
      </c>
      <c r="AG36" s="29"/>
      <c r="AH36" s="29">
        <f>AH35/-20</f>
        <v>-8118.326140212451</v>
      </c>
      <c r="AI36" s="29">
        <f>AI35/-20</f>
        <v>-8712.40983320183</v>
      </c>
      <c r="AJ36" s="29">
        <f>AJ35/-20</f>
        <v>-9526.789341541738</v>
      </c>
      <c r="AK36" s="29">
        <f>AK35/-20</f>
        <v>-10050.449874464652</v>
      </c>
    </row>
    <row r="37" spans="2:37" ht="12.75">
      <c r="B37" t="s">
        <v>142</v>
      </c>
      <c r="F37" s="29">
        <f>F35+F36</f>
        <v>47909.39</v>
      </c>
      <c r="G37" s="135">
        <f>G35+G36</f>
        <v>47110.900166666666</v>
      </c>
      <c r="H37" s="135">
        <f aca="true" t="shared" si="28" ref="H37:Q37">H35+H36</f>
        <v>46325.718497222224</v>
      </c>
      <c r="I37" s="29">
        <f t="shared" si="28"/>
        <v>45553.623188935184</v>
      </c>
      <c r="J37" s="29">
        <f t="shared" si="28"/>
        <v>44794.396135786264</v>
      </c>
      <c r="K37" s="29">
        <f t="shared" si="28"/>
        <v>58797.82286685649</v>
      </c>
      <c r="L37" s="29">
        <f t="shared" si="28"/>
        <v>69617.85915240888</v>
      </c>
      <c r="M37" s="29">
        <f t="shared" si="28"/>
        <v>71407.56149986874</v>
      </c>
      <c r="N37" s="29">
        <f t="shared" si="28"/>
        <v>75134.10214153759</v>
      </c>
      <c r="O37" s="29">
        <f t="shared" si="28"/>
        <v>82731.86710584529</v>
      </c>
      <c r="P37" s="29">
        <f t="shared" si="28"/>
        <v>90203.0026540812</v>
      </c>
      <c r="Q37" s="29">
        <f t="shared" si="28"/>
        <v>88699.61927651317</v>
      </c>
      <c r="R37" s="29"/>
      <c r="S37" s="29">
        <f>S35+S36</f>
        <v>99702.13831268752</v>
      </c>
      <c r="T37" s="29">
        <f>T35+T36</f>
        <v>99467.03139705314</v>
      </c>
      <c r="U37" s="29">
        <f>U35+U36</f>
        <v>99243.67982720048</v>
      </c>
      <c r="V37" s="29">
        <f>V35+V36</f>
        <v>99031.49583584045</v>
      </c>
      <c r="W37" s="29"/>
      <c r="X37" s="29">
        <f>X35+X36</f>
        <v>109517.42104404843</v>
      </c>
      <c r="Y37" s="29">
        <f>Y35+Y36</f>
        <v>113541.54999184601</v>
      </c>
      <c r="Z37" s="29">
        <f>Z35+Z36</f>
        <v>117364.47249225371</v>
      </c>
      <c r="AA37" s="29">
        <f>AA35+AA36</f>
        <v>116246.24886764103</v>
      </c>
      <c r="AB37" s="29"/>
      <c r="AC37" s="29">
        <f>AC35+AC36</f>
        <v>125871.43642425898</v>
      </c>
      <c r="AD37" s="29">
        <f>AD35+AD36</f>
        <v>138577.86460304604</v>
      </c>
      <c r="AE37" s="29">
        <f>AE35+AE36</f>
        <v>150648.97137289372</v>
      </c>
      <c r="AF37" s="29">
        <f>AF35+AF36</f>
        <v>152616.52280424902</v>
      </c>
      <c r="AG37" s="29"/>
      <c r="AH37" s="29">
        <f>AH35+AH36</f>
        <v>154248.19666403657</v>
      </c>
      <c r="AI37" s="29">
        <f>AI35+AI36</f>
        <v>165535.78683083475</v>
      </c>
      <c r="AJ37" s="29">
        <f>AJ35+AJ36</f>
        <v>181008.99748929302</v>
      </c>
      <c r="AK37" s="29">
        <f>AK35+AK36</f>
        <v>190958.54761482836</v>
      </c>
    </row>
    <row r="39" spans="17:22" ht="12.75">
      <c r="Q39" s="29">
        <f>SUM(F36:Q36)</f>
        <v>-14363.770723486807</v>
      </c>
      <c r="S39" s="29">
        <f>Q39+S36</f>
        <v>-19611.251687312466</v>
      </c>
      <c r="T39" s="29">
        <f>S39+T36</f>
        <v>-24846.358602946842</v>
      </c>
      <c r="U39" s="29">
        <f>T39+U36</f>
        <v>-30069.7101727995</v>
      </c>
      <c r="V39" s="29">
        <f>U39+V36</f>
        <v>-35281.89416415952</v>
      </c>
    </row>
  </sheetData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Savage</dc:creator>
  <cp:keywords/>
  <dc:description/>
  <cp:lastModifiedBy>Sorkin</cp:lastModifiedBy>
  <cp:lastPrinted>2004-03-24T23:52:00Z</cp:lastPrinted>
  <dcterms:created xsi:type="dcterms:W3CDTF">2003-11-05T20:26:06Z</dcterms:created>
  <dcterms:modified xsi:type="dcterms:W3CDTF">2008-12-10T21:47:06Z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-481763517</vt:i4>
  </property>
  <property fmtid="{D5CDD505-2E9C-101B-9397-08002B2CF9AE}" pid="3" name="_EmailSubject">
    <vt:lpwstr/>
  </property>
  <property fmtid="{D5CDD505-2E9C-101B-9397-08002B2CF9AE}" pid="4" name="_AuthorEmail">
    <vt:lpwstr>mliddell@mobitrac.com</vt:lpwstr>
  </property>
  <property fmtid="{D5CDD505-2E9C-101B-9397-08002B2CF9AE}" pid="5" name="_AuthorEmailDisplayName">
    <vt:lpwstr>Mike Liddell</vt:lpwstr>
  </property>
  <property fmtid="{D5CDD505-2E9C-101B-9397-08002B2CF9AE}" pid="6" name="_ReviewingToolsShownOnce">
    <vt:lpwstr/>
  </property>
</Properties>
</file>